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slcdata03\data\ONSReclassification\SFC\SFC 24-25\MYR\"/>
    </mc:Choice>
  </mc:AlternateContent>
  <xr:revisionPtr revIDLastSave="0" documentId="13_ncr:1_{AA80C936-3877-40E5-9FC4-D3A09BDB16CF}" xr6:coauthVersionLast="47" xr6:coauthVersionMax="47" xr10:uidLastSave="{00000000-0000-0000-0000-000000000000}"/>
  <bookViews>
    <workbookView xWindow="-120" yWindow="-120" windowWidth="29040" windowHeight="15720" tabRatio="831" activeTab="4" xr2:uid="{00000000-000D-0000-FFFF-FFFF00000000}"/>
  </bookViews>
  <sheets>
    <sheet name="Declaration" sheetId="1" r:id="rId1"/>
    <sheet name="SOCIE" sheetId="2" r:id="rId2"/>
    <sheet name="Income" sheetId="15" r:id="rId3"/>
    <sheet name="Expenditure" sheetId="16" r:id="rId4"/>
    <sheet name="Efficiencies" sheetId="18" r:id="rId5"/>
    <sheet name="Adjusted operating result" sheetId="9" r:id="rId6"/>
    <sheet name="Balance sheet" sheetId="6" r:id="rId7"/>
    <sheet name="Liquidity Analysis" sheetId="17" r:id="rId8"/>
    <sheet name="Cashflow" sheetId="13" r:id="rId9"/>
    <sheet name="Capital expenditure" sheetId="3" r:id="rId10"/>
    <sheet name="Summary" sheetId="7" r:id="rId11"/>
  </sheets>
  <definedNames>
    <definedName name="_xlnm.Print_Area" localSheetId="5">'Adjusted operating result'!$A$1:$G$45</definedName>
    <definedName name="_xlnm.Print_Area" localSheetId="6">'Balance sheet'!$A$1:$I$58</definedName>
    <definedName name="_xlnm.Print_Area" localSheetId="9">'Capital expenditure'!$A$1:$G$47</definedName>
    <definedName name="_xlnm.Print_Area" localSheetId="8">Cashflow!$A$1:$J$61</definedName>
    <definedName name="_xlnm.Print_Area" localSheetId="0">Declaration!$B$1:$N$21</definedName>
    <definedName name="_xlnm.Print_Area" localSheetId="4">Efficiencies!$A$1:$E$21</definedName>
    <definedName name="_xlnm.Print_Area" localSheetId="3">Expenditure!$A$1:$O$67</definedName>
    <definedName name="_xlnm.Print_Area" localSheetId="2">Income!$A$1:$J$58</definedName>
    <definedName name="_xlnm.Print_Area" localSheetId="1">SOCIE!$A$1:$I$48</definedName>
    <definedName name="_xlnm.Print_Area" localSheetId="10">Summary!$A$1:$E$41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5" l="1"/>
  <c r="F43" i="6" l="1"/>
  <c r="F23" i="15"/>
  <c r="F21" i="15"/>
  <c r="F7" i="16"/>
  <c r="F23" i="13" l="1"/>
  <c r="F54" i="16"/>
  <c r="F37" i="16"/>
  <c r="F36" i="16"/>
  <c r="F10" i="16"/>
  <c r="F39" i="16"/>
  <c r="D3" i="18" l="1"/>
  <c r="C3" i="18"/>
  <c r="A1" i="18"/>
  <c r="D15" i="18"/>
  <c r="C15" i="18"/>
  <c r="D9" i="18"/>
  <c r="C9" i="18"/>
  <c r="F50" i="17" l="1"/>
  <c r="E50" i="17"/>
  <c r="F41" i="17"/>
  <c r="E41" i="17"/>
  <c r="D17" i="9" l="1"/>
  <c r="F17" i="9" s="1"/>
  <c r="C17" i="9"/>
  <c r="E17" i="9" s="1"/>
  <c r="F42" i="9" l="1"/>
  <c r="F41" i="9"/>
  <c r="F40" i="9"/>
  <c r="F39" i="9"/>
  <c r="F28" i="16" l="1"/>
  <c r="E28" i="16"/>
  <c r="D16" i="9"/>
  <c r="C16" i="9"/>
  <c r="G31" i="17" l="1"/>
  <c r="G32" i="17"/>
  <c r="F21" i="17"/>
  <c r="F14" i="17"/>
  <c r="F15" i="17"/>
  <c r="F16" i="17"/>
  <c r="F17" i="17"/>
  <c r="H17" i="17" s="1"/>
  <c r="F18" i="17"/>
  <c r="H18" i="17" s="1"/>
  <c r="F19" i="17"/>
  <c r="E21" i="17"/>
  <c r="E19" i="17"/>
  <c r="E18" i="17"/>
  <c r="E17" i="17"/>
  <c r="E16" i="17"/>
  <c r="E15" i="17"/>
  <c r="E14" i="17"/>
  <c r="G14" i="17" s="1"/>
  <c r="F7" i="17"/>
  <c r="F8" i="17"/>
  <c r="F9" i="17"/>
  <c r="H9" i="17" s="1"/>
  <c r="F10" i="17"/>
  <c r="H10" i="17" s="1"/>
  <c r="E10" i="17"/>
  <c r="E9" i="17"/>
  <c r="E8" i="17"/>
  <c r="E7" i="17"/>
  <c r="F4" i="17"/>
  <c r="E4" i="17"/>
  <c r="B2" i="17"/>
  <c r="G30" i="17"/>
  <c r="H20" i="17"/>
  <c r="G20" i="17"/>
  <c r="H16" i="17"/>
  <c r="H14" i="17"/>
  <c r="H19" i="17" l="1"/>
  <c r="G16" i="17"/>
  <c r="G18" i="17"/>
  <c r="G8" i="17"/>
  <c r="H7" i="17"/>
  <c r="F22" i="17"/>
  <c r="H22" i="17" s="1"/>
  <c r="H8" i="17"/>
  <c r="H21" i="17"/>
  <c r="G17" i="17"/>
  <c r="G19" i="17"/>
  <c r="E22" i="17"/>
  <c r="G7" i="17"/>
  <c r="G9" i="17"/>
  <c r="G10" i="17"/>
  <c r="E11" i="17"/>
  <c r="G21" i="17"/>
  <c r="F11" i="17"/>
  <c r="G15" i="17"/>
  <c r="H15" i="17"/>
  <c r="G22" i="17" l="1"/>
  <c r="F24" i="17"/>
  <c r="F25" i="17"/>
  <c r="D35" i="7" s="1"/>
  <c r="H11" i="17"/>
  <c r="E24" i="17"/>
  <c r="E25" i="17"/>
  <c r="C35" i="7" s="1"/>
  <c r="G11" i="17"/>
  <c r="G25" i="17" l="1"/>
  <c r="E34" i="17"/>
  <c r="G24" i="17"/>
  <c r="H24" i="17"/>
  <c r="F34" i="17"/>
  <c r="G34" i="17" l="1"/>
  <c r="G7" i="3" l="1"/>
  <c r="G10" i="3"/>
  <c r="G11" i="3"/>
  <c r="G12" i="3"/>
  <c r="G13" i="3"/>
  <c r="G14" i="3"/>
  <c r="G15" i="3"/>
  <c r="G16" i="3"/>
  <c r="G17" i="3"/>
  <c r="G6" i="3"/>
  <c r="I11" i="13"/>
  <c r="I12" i="13"/>
  <c r="I13" i="13"/>
  <c r="I14" i="13"/>
  <c r="I15" i="13"/>
  <c r="I16" i="13"/>
  <c r="I17" i="13"/>
  <c r="I18" i="13"/>
  <c r="I19" i="13"/>
  <c r="I20" i="13"/>
  <c r="I21" i="13"/>
  <c r="I22" i="13"/>
  <c r="I23" i="13"/>
  <c r="I26" i="13"/>
  <c r="I27" i="13"/>
  <c r="I28" i="13"/>
  <c r="I29" i="13"/>
  <c r="I30" i="13"/>
  <c r="I36" i="13"/>
  <c r="I37" i="13"/>
  <c r="I38" i="13"/>
  <c r="I39" i="13"/>
  <c r="I40" i="13"/>
  <c r="I41" i="13"/>
  <c r="I42" i="13"/>
  <c r="I43" i="13"/>
  <c r="I44" i="13"/>
  <c r="I45" i="13"/>
  <c r="I49" i="13"/>
  <c r="I50" i="13"/>
  <c r="I51" i="13"/>
  <c r="I52" i="13"/>
  <c r="I53" i="13"/>
  <c r="I54" i="13"/>
  <c r="I55" i="13"/>
  <c r="I60" i="13"/>
  <c r="H40" i="2"/>
  <c r="G19" i="6"/>
  <c r="G20" i="6"/>
  <c r="G21" i="6"/>
  <c r="G22" i="6"/>
  <c r="G23" i="6"/>
  <c r="G24" i="6"/>
  <c r="G25" i="6"/>
  <c r="G26" i="6"/>
  <c r="E19" i="2" l="1"/>
  <c r="D17" i="18" s="1"/>
  <c r="E20" i="2"/>
  <c r="D20" i="2"/>
  <c r="D19" i="2"/>
  <c r="C17" i="18" s="1"/>
  <c r="G3" i="3" l="1"/>
  <c r="F3" i="3"/>
  <c r="I4" i="13"/>
  <c r="H4" i="13"/>
  <c r="H55" i="6"/>
  <c r="H53" i="6"/>
  <c r="H52" i="6"/>
  <c r="H50" i="6"/>
  <c r="H49" i="6"/>
  <c r="H44" i="6"/>
  <c r="H43" i="6"/>
  <c r="H41" i="6"/>
  <c r="H40" i="6"/>
  <c r="H39" i="6"/>
  <c r="H38" i="6"/>
  <c r="H37" i="6"/>
  <c r="H36" i="6"/>
  <c r="H35" i="6"/>
  <c r="H34" i="6"/>
  <c r="H29" i="6"/>
  <c r="H26" i="6"/>
  <c r="H25" i="6"/>
  <c r="H24" i="6"/>
  <c r="H23" i="6"/>
  <c r="H22" i="6"/>
  <c r="H21" i="6"/>
  <c r="H20" i="6"/>
  <c r="H19" i="6"/>
  <c r="H18" i="6"/>
  <c r="H15" i="6"/>
  <c r="H14" i="6"/>
  <c r="H13" i="6"/>
  <c r="H12" i="6"/>
  <c r="H11" i="6"/>
  <c r="H8" i="6"/>
  <c r="H7" i="6"/>
  <c r="H6" i="6"/>
  <c r="H4" i="6"/>
  <c r="G4" i="6"/>
  <c r="E16" i="9"/>
  <c r="D15" i="9"/>
  <c r="D14" i="9"/>
  <c r="C15" i="9"/>
  <c r="F15" i="9" s="1"/>
  <c r="C14" i="9"/>
  <c r="E14" i="9" s="1"/>
  <c r="F22" i="9"/>
  <c r="E22" i="9"/>
  <c r="F20" i="9"/>
  <c r="E20" i="9"/>
  <c r="F5" i="9"/>
  <c r="E5" i="9"/>
  <c r="F41" i="16"/>
  <c r="I28" i="16"/>
  <c r="H28" i="16"/>
  <c r="I27" i="16"/>
  <c r="H27" i="16"/>
  <c r="I26" i="16"/>
  <c r="H26" i="16"/>
  <c r="I25" i="16"/>
  <c r="H25" i="16"/>
  <c r="I63" i="16"/>
  <c r="H63" i="16"/>
  <c r="I62" i="16"/>
  <c r="H62" i="16"/>
  <c r="I61" i="16"/>
  <c r="H61" i="16"/>
  <c r="I60" i="16"/>
  <c r="H60" i="16"/>
  <c r="I59" i="16"/>
  <c r="H59" i="16"/>
  <c r="I56" i="16"/>
  <c r="H56" i="16"/>
  <c r="I55" i="16"/>
  <c r="H55" i="16"/>
  <c r="I51" i="16"/>
  <c r="H51" i="16"/>
  <c r="I50" i="16"/>
  <c r="H50" i="16"/>
  <c r="I49" i="16"/>
  <c r="H49" i="16"/>
  <c r="I48" i="16"/>
  <c r="H48" i="16"/>
  <c r="I47" i="16"/>
  <c r="H47" i="16"/>
  <c r="I46" i="16"/>
  <c r="H46" i="16"/>
  <c r="I45" i="16"/>
  <c r="H45" i="16"/>
  <c r="I44" i="16"/>
  <c r="H44" i="16"/>
  <c r="I43" i="16"/>
  <c r="H43" i="16"/>
  <c r="I42" i="16"/>
  <c r="H42" i="16"/>
  <c r="I40" i="16"/>
  <c r="H40" i="16"/>
  <c r="I39" i="16"/>
  <c r="H39" i="16"/>
  <c r="I38" i="16"/>
  <c r="H38" i="16"/>
  <c r="I37" i="16"/>
  <c r="H37" i="16"/>
  <c r="I36" i="16"/>
  <c r="H36" i="16"/>
  <c r="I33" i="16"/>
  <c r="H33" i="16"/>
  <c r="I18" i="16"/>
  <c r="H18" i="16"/>
  <c r="I14" i="16"/>
  <c r="H14" i="16"/>
  <c r="I13" i="16"/>
  <c r="H13" i="16"/>
  <c r="I12" i="16"/>
  <c r="H12" i="16"/>
  <c r="I11" i="16"/>
  <c r="H11" i="16"/>
  <c r="I10" i="16"/>
  <c r="H10" i="16"/>
  <c r="I9" i="16"/>
  <c r="H9" i="16"/>
  <c r="I8" i="16"/>
  <c r="H8" i="16"/>
  <c r="I7" i="16"/>
  <c r="H7" i="16"/>
  <c r="I4" i="16"/>
  <c r="H4" i="16"/>
  <c r="I3" i="16"/>
  <c r="H3" i="16"/>
  <c r="F3" i="16"/>
  <c r="E3" i="16"/>
  <c r="I56" i="15"/>
  <c r="H56" i="15"/>
  <c r="I55" i="15"/>
  <c r="H55" i="15"/>
  <c r="I54" i="15"/>
  <c r="H54" i="15"/>
  <c r="I50" i="15"/>
  <c r="H50" i="15"/>
  <c r="I49" i="15"/>
  <c r="H49" i="15"/>
  <c r="I48" i="15"/>
  <c r="H48" i="15"/>
  <c r="I47" i="15"/>
  <c r="H47" i="15"/>
  <c r="I46" i="15"/>
  <c r="H46" i="15"/>
  <c r="I42" i="15"/>
  <c r="H42" i="15"/>
  <c r="I41" i="15"/>
  <c r="H41" i="15"/>
  <c r="I40" i="15"/>
  <c r="H40" i="15"/>
  <c r="I39" i="15"/>
  <c r="H39" i="15"/>
  <c r="I38" i="15"/>
  <c r="H38" i="15"/>
  <c r="I34" i="15"/>
  <c r="H34" i="15"/>
  <c r="I33" i="15"/>
  <c r="H33" i="15"/>
  <c r="I32" i="15"/>
  <c r="H32" i="15"/>
  <c r="I28" i="15"/>
  <c r="H28" i="15"/>
  <c r="I27" i="15"/>
  <c r="H27" i="15"/>
  <c r="I24" i="15"/>
  <c r="H24" i="15"/>
  <c r="I23" i="15"/>
  <c r="H23" i="15"/>
  <c r="I22" i="15"/>
  <c r="H22" i="15"/>
  <c r="I21" i="15"/>
  <c r="H21" i="15"/>
  <c r="I20" i="15"/>
  <c r="H20" i="15"/>
  <c r="I19" i="15"/>
  <c r="H19" i="15"/>
  <c r="I18" i="15"/>
  <c r="H18" i="15"/>
  <c r="I17" i="15"/>
  <c r="H17" i="15"/>
  <c r="I13" i="15"/>
  <c r="H13" i="15"/>
  <c r="I12" i="15"/>
  <c r="H12" i="15"/>
  <c r="I11" i="15"/>
  <c r="H11" i="15"/>
  <c r="I10" i="15"/>
  <c r="H10" i="15"/>
  <c r="I9" i="15"/>
  <c r="H9" i="15"/>
  <c r="I8" i="15"/>
  <c r="H8" i="15"/>
  <c r="I7" i="15"/>
  <c r="H7" i="15"/>
  <c r="H4" i="15"/>
  <c r="I4" i="15"/>
  <c r="I3" i="15"/>
  <c r="H3" i="15"/>
  <c r="F3" i="15"/>
  <c r="E3" i="15"/>
  <c r="H46" i="2"/>
  <c r="H45" i="2"/>
  <c r="H44" i="2"/>
  <c r="H36" i="2"/>
  <c r="H35" i="2"/>
  <c r="H34" i="2"/>
  <c r="F16" i="9" l="1"/>
  <c r="E15" i="9"/>
  <c r="F14" i="9"/>
  <c r="H36" i="15" l="1"/>
  <c r="H15" i="16" l="1"/>
  <c r="I15" i="16"/>
  <c r="C19" i="9"/>
  <c r="H37" i="15"/>
  <c r="C34" i="7"/>
  <c r="D34" i="7"/>
  <c r="H20" i="2" l="1"/>
  <c r="H19" i="2"/>
  <c r="E35" i="15" l="1"/>
  <c r="E43" i="15" l="1"/>
  <c r="J3" i="16"/>
  <c r="D10" i="2" l="1"/>
  <c r="F64" i="16"/>
  <c r="E24" i="2" s="1"/>
  <c r="F52" i="16"/>
  <c r="E21" i="2" s="1"/>
  <c r="F16" i="16"/>
  <c r="B1" i="16"/>
  <c r="B2" i="15"/>
  <c r="F57" i="15"/>
  <c r="F51" i="15"/>
  <c r="F29" i="15"/>
  <c r="F25" i="15"/>
  <c r="F14" i="15"/>
  <c r="E64" i="16"/>
  <c r="E57" i="16"/>
  <c r="E41" i="16"/>
  <c r="E16" i="16"/>
  <c r="E57" i="15"/>
  <c r="E51" i="15"/>
  <c r="E29" i="15"/>
  <c r="E25" i="15"/>
  <c r="E14" i="15"/>
  <c r="F23" i="16" l="1"/>
  <c r="F22" i="16"/>
  <c r="F24" i="16"/>
  <c r="D9" i="2"/>
  <c r="H29" i="15"/>
  <c r="E9" i="2"/>
  <c r="H9" i="2" s="1"/>
  <c r="I29" i="15"/>
  <c r="D13" i="2"/>
  <c r="H57" i="15"/>
  <c r="E13" i="2"/>
  <c r="H13" i="2" s="1"/>
  <c r="I57" i="15"/>
  <c r="D24" i="2"/>
  <c r="H24" i="2" s="1"/>
  <c r="H64" i="16"/>
  <c r="D23" i="2"/>
  <c r="C11" i="9" s="1"/>
  <c r="H41" i="16"/>
  <c r="I41" i="16"/>
  <c r="D18" i="2"/>
  <c r="H16" i="16"/>
  <c r="D11" i="2"/>
  <c r="H51" i="15"/>
  <c r="D8" i="2"/>
  <c r="H25" i="15"/>
  <c r="D7" i="2"/>
  <c r="H14" i="15"/>
  <c r="I16" i="16"/>
  <c r="E18" i="2"/>
  <c r="E11" i="2"/>
  <c r="H11" i="2" s="1"/>
  <c r="I51" i="15"/>
  <c r="E8" i="2"/>
  <c r="I25" i="15"/>
  <c r="I14" i="15"/>
  <c r="E7" i="2"/>
  <c r="I64" i="16"/>
  <c r="E19" i="16"/>
  <c r="F19" i="16"/>
  <c r="E29" i="16"/>
  <c r="E52" i="16"/>
  <c r="I22" i="16" l="1"/>
  <c r="H22" i="16"/>
  <c r="F29" i="16"/>
  <c r="F30" i="16" s="1"/>
  <c r="I23" i="16"/>
  <c r="H23" i="16"/>
  <c r="H24" i="16"/>
  <c r="I24" i="16"/>
  <c r="I19" i="16"/>
  <c r="H18" i="2"/>
  <c r="H8" i="2"/>
  <c r="H7" i="2"/>
  <c r="H19" i="16"/>
  <c r="D21" i="2"/>
  <c r="H21" i="2" s="1"/>
  <c r="H52" i="16"/>
  <c r="I52" i="16"/>
  <c r="F61" i="13"/>
  <c r="E61" i="13"/>
  <c r="H29" i="16" l="1"/>
  <c r="I29" i="16"/>
  <c r="I61" i="13"/>
  <c r="E63" i="13"/>
  <c r="F63" i="13"/>
  <c r="H11" i="13"/>
  <c r="H12" i="13"/>
  <c r="H13" i="13"/>
  <c r="H14" i="13"/>
  <c r="H15" i="13"/>
  <c r="H16" i="13"/>
  <c r="H17" i="13"/>
  <c r="H18" i="13"/>
  <c r="H19" i="13"/>
  <c r="H20" i="13"/>
  <c r="H21" i="13"/>
  <c r="H22" i="13"/>
  <c r="H23" i="13"/>
  <c r="H26" i="13"/>
  <c r="H27" i="13"/>
  <c r="H28" i="13"/>
  <c r="H29" i="13"/>
  <c r="H30" i="13"/>
  <c r="H36" i="13"/>
  <c r="H37" i="13"/>
  <c r="H38" i="13"/>
  <c r="H39" i="13"/>
  <c r="H40" i="13"/>
  <c r="H41" i="13"/>
  <c r="H42" i="13"/>
  <c r="H43" i="13"/>
  <c r="H44" i="13"/>
  <c r="H45" i="13"/>
  <c r="H49" i="13"/>
  <c r="H50" i="13"/>
  <c r="H51" i="13"/>
  <c r="H52" i="13"/>
  <c r="H53" i="13"/>
  <c r="H54" i="13"/>
  <c r="H55" i="13"/>
  <c r="H60" i="13"/>
  <c r="H61" i="13"/>
  <c r="H3" i="13"/>
  <c r="I3" i="13"/>
  <c r="E10" i="13"/>
  <c r="E3" i="13"/>
  <c r="F3" i="13"/>
  <c r="E31" i="13"/>
  <c r="F31" i="13"/>
  <c r="E46" i="13"/>
  <c r="F46" i="13"/>
  <c r="E56" i="13"/>
  <c r="F56" i="13"/>
  <c r="A2" i="13"/>
  <c r="I56" i="13" l="1"/>
  <c r="I46" i="13"/>
  <c r="I31" i="13"/>
  <c r="H31" i="13"/>
  <c r="H46" i="13"/>
  <c r="H56" i="13"/>
  <c r="E24" i="13"/>
  <c r="C24" i="3" l="1"/>
  <c r="D24" i="3"/>
  <c r="D12" i="9" l="1"/>
  <c r="C12" i="9"/>
  <c r="E12" i="9" s="1"/>
  <c r="F12" i="9" l="1"/>
  <c r="D13" i="9"/>
  <c r="C13" i="9" l="1"/>
  <c r="E13" i="9" s="1"/>
  <c r="H22" i="2"/>
  <c r="C39" i="3"/>
  <c r="D33" i="2" s="1"/>
  <c r="D39" i="3"/>
  <c r="E33" i="2" s="1"/>
  <c r="H33" i="2" s="1"/>
  <c r="C32" i="3"/>
  <c r="D32" i="3"/>
  <c r="F13" i="9" l="1"/>
  <c r="C43" i="9" l="1"/>
  <c r="C21" i="9" s="1"/>
  <c r="D43" i="9"/>
  <c r="D21" i="9" s="1"/>
  <c r="F21" i="9" l="1"/>
  <c r="E21" i="9"/>
  <c r="G19" i="2"/>
  <c r="C37" i="7" l="1"/>
  <c r="D37" i="7"/>
  <c r="C28" i="7"/>
  <c r="D28" i="7"/>
  <c r="C27" i="7"/>
  <c r="D27" i="7"/>
  <c r="C36" i="9" l="1"/>
  <c r="C45" i="9" s="1"/>
  <c r="D36" i="9"/>
  <c r="D45" i="9" s="1"/>
  <c r="F6" i="3"/>
  <c r="F7" i="3"/>
  <c r="F10" i="3"/>
  <c r="F11" i="3"/>
  <c r="F12" i="3"/>
  <c r="F13" i="3"/>
  <c r="F14" i="3"/>
  <c r="F15" i="3"/>
  <c r="F16" i="3"/>
  <c r="F17" i="3"/>
  <c r="G2" i="3"/>
  <c r="F4" i="9"/>
  <c r="G7" i="6" l="1"/>
  <c r="G8" i="6"/>
  <c r="G11" i="6"/>
  <c r="G12" i="6"/>
  <c r="G13" i="6"/>
  <c r="G14" i="6"/>
  <c r="G15" i="6"/>
  <c r="G18" i="6"/>
  <c r="G29" i="6"/>
  <c r="G34" i="6"/>
  <c r="G35" i="6"/>
  <c r="G36" i="6"/>
  <c r="G37" i="6"/>
  <c r="G38" i="6"/>
  <c r="G40" i="6"/>
  <c r="G41" i="6"/>
  <c r="G43" i="6"/>
  <c r="G44" i="6"/>
  <c r="G49" i="6"/>
  <c r="G50" i="6"/>
  <c r="G52" i="6"/>
  <c r="G53" i="6"/>
  <c r="G55" i="6"/>
  <c r="G6" i="6"/>
  <c r="H3" i="6"/>
  <c r="G7" i="2"/>
  <c r="G8" i="2"/>
  <c r="G9" i="2"/>
  <c r="G11" i="2"/>
  <c r="G13" i="2"/>
  <c r="G20" i="2"/>
  <c r="G21" i="2"/>
  <c r="G22" i="2"/>
  <c r="G24" i="2"/>
  <c r="G33" i="2"/>
  <c r="G34" i="2"/>
  <c r="G35" i="2"/>
  <c r="G36" i="2"/>
  <c r="G40" i="2"/>
  <c r="G44" i="2"/>
  <c r="G45" i="2"/>
  <c r="G46" i="2"/>
  <c r="I37" i="15" l="1"/>
  <c r="D19" i="9"/>
  <c r="I36" i="15"/>
  <c r="F35" i="15"/>
  <c r="H35" i="15" s="1"/>
  <c r="F19" i="9" l="1"/>
  <c r="E19" i="9"/>
  <c r="F43" i="15"/>
  <c r="H43" i="15" s="1"/>
  <c r="I35" i="15"/>
  <c r="G18" i="2"/>
  <c r="I43" i="15" l="1"/>
  <c r="E10" i="2"/>
  <c r="D2" i="7"/>
  <c r="C2" i="7"/>
  <c r="F2" i="3"/>
  <c r="D2" i="3"/>
  <c r="D23" i="3" s="1"/>
  <c r="C2" i="3"/>
  <c r="C23" i="3" s="1"/>
  <c r="A1" i="9"/>
  <c r="E4" i="9"/>
  <c r="D4" i="9"/>
  <c r="C4" i="9"/>
  <c r="H10" i="2" l="1"/>
  <c r="G10" i="2"/>
  <c r="G3" i="6"/>
  <c r="E57" i="6"/>
  <c r="E45" i="6"/>
  <c r="E42" i="6"/>
  <c r="E27" i="6"/>
  <c r="E16" i="6"/>
  <c r="E9" i="6"/>
  <c r="E3" i="6"/>
  <c r="F3" i="6"/>
  <c r="E30" i="6" l="1"/>
  <c r="E32" i="6" s="1"/>
  <c r="F57" i="6"/>
  <c r="H57" i="6" l="1"/>
  <c r="G57" i="6"/>
  <c r="F16" i="6"/>
  <c r="H16" i="6" s="1"/>
  <c r="G16" i="6" l="1"/>
  <c r="E47" i="6"/>
  <c r="F9" i="6"/>
  <c r="H9" i="6" s="1"/>
  <c r="E59" i="6" l="1"/>
  <c r="G9" i="6"/>
  <c r="E12" i="2"/>
  <c r="E14" i="2" l="1"/>
  <c r="D7" i="7" l="1"/>
  <c r="D9" i="7"/>
  <c r="D36" i="7"/>
  <c r="F27" i="6" l="1"/>
  <c r="B1" i="7"/>
  <c r="D18" i="3"/>
  <c r="C18" i="3"/>
  <c r="D8" i="3"/>
  <c r="C8" i="3"/>
  <c r="B1" i="6"/>
  <c r="B1" i="3"/>
  <c r="F42" i="6"/>
  <c r="F45" i="6"/>
  <c r="B1" i="2"/>
  <c r="D19" i="3" l="1"/>
  <c r="F8" i="3"/>
  <c r="F18" i="3"/>
  <c r="G18" i="3"/>
  <c r="G8" i="3"/>
  <c r="H45" i="6"/>
  <c r="G45" i="6"/>
  <c r="H42" i="6"/>
  <c r="G42" i="6"/>
  <c r="H27" i="6"/>
  <c r="G27" i="6"/>
  <c r="F30" i="6"/>
  <c r="D12" i="2"/>
  <c r="H12" i="2" s="1"/>
  <c r="D10" i="7"/>
  <c r="D8" i="7"/>
  <c r="F32" i="6" l="1"/>
  <c r="H32" i="6" s="1"/>
  <c r="H30" i="6"/>
  <c r="D14" i="2"/>
  <c r="G12" i="2"/>
  <c r="G30" i="6"/>
  <c r="D11" i="7"/>
  <c r="D27" i="2"/>
  <c r="D6" i="7"/>
  <c r="C17" i="7" l="1"/>
  <c r="C16" i="7"/>
  <c r="G32" i="6"/>
  <c r="F47" i="6"/>
  <c r="C10" i="7"/>
  <c r="H14" i="2"/>
  <c r="C29" i="7"/>
  <c r="C11" i="7"/>
  <c r="C7" i="7"/>
  <c r="C8" i="7" s="1"/>
  <c r="C9" i="7"/>
  <c r="C36" i="7"/>
  <c r="G14" i="2"/>
  <c r="C6" i="7"/>
  <c r="C18" i="7"/>
  <c r="C15" i="7"/>
  <c r="D30" i="2"/>
  <c r="F59" i="6" l="1"/>
  <c r="H59" i="6" s="1"/>
  <c r="F60" i="6"/>
  <c r="H47" i="6"/>
  <c r="G47" i="6"/>
  <c r="D38" i="2"/>
  <c r="D42" i="2" s="1"/>
  <c r="E7" i="13" s="1"/>
  <c r="C8" i="9"/>
  <c r="C24" i="9" s="1"/>
  <c r="C38" i="7"/>
  <c r="C21" i="7"/>
  <c r="C22" i="7"/>
  <c r="C23" i="7" l="1"/>
  <c r="E33" i="13"/>
  <c r="C31" i="7" l="1"/>
  <c r="C32" i="7"/>
  <c r="C24" i="7"/>
  <c r="E58" i="13"/>
  <c r="C30" i="7"/>
  <c r="D48" i="2"/>
  <c r="H54" i="16"/>
  <c r="I54" i="16"/>
  <c r="F57" i="16"/>
  <c r="E23" i="2" s="1"/>
  <c r="I57" i="16" l="1"/>
  <c r="H57" i="16"/>
  <c r="E27" i="2"/>
  <c r="D18" i="7" s="1"/>
  <c r="D11" i="9"/>
  <c r="G23" i="2"/>
  <c r="H23" i="2"/>
  <c r="F10" i="13"/>
  <c r="E11" i="9" l="1"/>
  <c r="F11" i="9"/>
  <c r="I10" i="13"/>
  <c r="F24" i="13"/>
  <c r="H10" i="13"/>
  <c r="E30" i="2"/>
  <c r="D17" i="7"/>
  <c r="H27" i="2"/>
  <c r="G27" i="2"/>
  <c r="D15" i="7"/>
  <c r="D16" i="7"/>
  <c r="D29" i="7"/>
  <c r="D21" i="7" l="1"/>
  <c r="H30" i="2"/>
  <c r="E38" i="2"/>
  <c r="D8" i="9"/>
  <c r="G30" i="2"/>
  <c r="D38" i="7"/>
  <c r="D22" i="7"/>
  <c r="I24" i="13"/>
  <c r="H24" i="13"/>
  <c r="E8" i="9" l="1"/>
  <c r="D24" i="9"/>
  <c r="F8" i="9"/>
  <c r="G38" i="2"/>
  <c r="H38" i="2"/>
  <c r="E42" i="2"/>
  <c r="H42" i="2" l="1"/>
  <c r="E48" i="2"/>
  <c r="F7" i="13"/>
  <c r="G42" i="2"/>
  <c r="F24" i="9"/>
  <c r="E24" i="9"/>
  <c r="D24" i="7"/>
  <c r="D23" i="7"/>
  <c r="I7" i="13" l="1"/>
  <c r="H7" i="13"/>
  <c r="F33" i="13"/>
  <c r="H48" i="2"/>
  <c r="G48" i="2"/>
  <c r="F58" i="13" l="1"/>
  <c r="H33" i="13"/>
  <c r="D31" i="7"/>
  <c r="D32" i="7"/>
  <c r="I33" i="13"/>
  <c r="D30" i="7"/>
  <c r="F64" i="13" l="1"/>
  <c r="I58" i="13"/>
  <c r="H58" i="1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<sst xmlns="http://schemas.openxmlformats.org/spreadsheetml/2006/main" count="580" uniqueCount="378">
  <si>
    <t>Mid-Year Return 2024-25</t>
  </si>
  <si>
    <t>College</t>
  </si>
  <si>
    <t>Contact</t>
  </si>
  <si>
    <t>Telephone</t>
  </si>
  <si>
    <t>Email:</t>
  </si>
  <si>
    <t>DECLARATION:</t>
  </si>
  <si>
    <t>The attached worksheets represent an update on the financial forecasts for the College, based on the actual financial results for the year to date and other relevant information. I consider the revised forecasts to be a reasonable assessment of the College's projected financial position at the end of this academic year in the light of the information available to me.</t>
  </si>
  <si>
    <t>Signed:</t>
  </si>
  <si>
    <t>Principal</t>
  </si>
  <si>
    <t>Date:</t>
  </si>
  <si>
    <t>Statement of Comprehensive income and expenditure (Consolidated)</t>
  </si>
  <si>
    <t>FFR     2024-25</t>
  </si>
  <si>
    <t>MYR    2024-25</t>
  </si>
  <si>
    <t>Variance</t>
  </si>
  <si>
    <t>Explanation for variance</t>
  </si>
  <si>
    <t>£000</t>
  </si>
  <si>
    <t>%</t>
  </si>
  <si>
    <t>£</t>
  </si>
  <si>
    <t>INCOME</t>
  </si>
  <si>
    <t>Tuition fees and education contracts</t>
  </si>
  <si>
    <t>Funding council/RSB grants</t>
  </si>
  <si>
    <t>Research grants and contracts</t>
  </si>
  <si>
    <t>Other income</t>
  </si>
  <si>
    <t>Investment income</t>
  </si>
  <si>
    <t xml:space="preserve">Total income before donations and endowments </t>
  </si>
  <si>
    <t>Donations and endowments</t>
  </si>
  <si>
    <t>Total income</t>
  </si>
  <si>
    <t>EXPENDITURE</t>
  </si>
  <si>
    <t>Staff costs</t>
  </si>
  <si>
    <t>Staff costs - exceptional restructuring costs</t>
  </si>
  <si>
    <t>Exceptional costs - non-staff</t>
  </si>
  <si>
    <t>Other operating expenses</t>
  </si>
  <si>
    <t>Donation to Arms Length Foundation</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</si>
  <si>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</si>
  <si>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</si>
  <si>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</si>
  <si>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</si>
  <si>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</si>
  <si>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investments</t>
  </si>
  <si>
    <t>Share of operating surplus/(deficit) in joint venture(s)</t>
  </si>
  <si>
    <t>Share of operating surplus/(deficit) in associate(s)</t>
  </si>
  <si>
    <t>Surplus/(deficit) before tax</t>
  </si>
  <si>
    <t>Other taxation</t>
  </si>
  <si>
    <t>Surplus/(deficit) for the year</t>
  </si>
  <si>
    <t>Unrealised surplus on revaluation of land and buildings</t>
  </si>
  <si>
    <t>Actuarial (loss)/gain in respect of pension schemes</t>
  </si>
  <si>
    <t xml:space="preserve">Other comprehensive income </t>
  </si>
  <si>
    <t>Total comprehensive income for the year</t>
  </si>
  <si>
    <t xml:space="preserve">a) </t>
  </si>
  <si>
    <t>FE - UK</t>
  </si>
  <si>
    <t>b)</t>
  </si>
  <si>
    <t>FE - EU</t>
  </si>
  <si>
    <t>c)</t>
  </si>
  <si>
    <t>HE</t>
  </si>
  <si>
    <t>d)</t>
  </si>
  <si>
    <t>Non-EU</t>
  </si>
  <si>
    <t>e)</t>
  </si>
  <si>
    <t>SDS contracts</t>
  </si>
  <si>
    <t>f)</t>
  </si>
  <si>
    <t>Education contracts</t>
  </si>
  <si>
    <t>g)</t>
  </si>
  <si>
    <t>Other</t>
  </si>
  <si>
    <t>Total tuition fees and education contracts</t>
  </si>
  <si>
    <t>SFC / RSB Grants</t>
  </si>
  <si>
    <t>a)</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</si>
  <si>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</si>
  <si>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</si>
  <si>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</si>
  <si>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</si>
  <si>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</si>
  <si>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</si>
  <si>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</si>
  <si>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h)</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</si>
  <si>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</si>
  <si>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</si>
  <si>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</si>
  <si>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</si>
  <si>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</si>
  <si>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</si>
  <si>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</si>
  <si>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</si>
  <si>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</si>
  <si>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</si>
  <si>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</si>
  <si>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</si>
  <si>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</si>
  <si>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</si>
  <si>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</si>
  <si>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Income from Coronavirus Job Retention Scheme</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</si>
  <si>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</si>
  <si>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</si>
  <si>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</si>
  <si>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</si>
  <si>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</si>
  <si>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</si>
  <si>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</si>
  <si>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</si>
  <si>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</si>
  <si>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</si>
  <si>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</si>
  <si>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</si>
  <si>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</si>
  <si>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</si>
  <si>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</si>
  <si>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</si>
  <si>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</si>
  <si>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</si>
  <si>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</si>
  <si>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</si>
  <si>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</si>
  <si>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</si>
  <si>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</si>
  <si>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</si>
  <si>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Salaries</t>
  </si>
  <si>
    <t>Social security costs</t>
  </si>
  <si>
    <t>Pension contributions</t>
  </si>
  <si>
    <t>Non-cash pension adjustments - net service cost</t>
  </si>
  <si>
    <t>Non-cash pension adjustments - early retirement provision</t>
  </si>
  <si>
    <t>Severance payments</t>
  </si>
  <si>
    <t>NON-STAFF COSTS</t>
  </si>
  <si>
    <t xml:space="preserve">General education </t>
  </si>
  <si>
    <t>(i)</t>
  </si>
  <si>
    <t>Maintenance</t>
  </si>
  <si>
    <t>(ii)</t>
  </si>
  <si>
    <t>Utilities</t>
  </si>
  <si>
    <t>(iii)</t>
  </si>
  <si>
    <t>i)</t>
  </si>
  <si>
    <t>Overspend on student support funds *</t>
  </si>
  <si>
    <t>j)</t>
  </si>
  <si>
    <t>Planned maintenance</t>
  </si>
  <si>
    <t>k)</t>
  </si>
  <si>
    <t xml:space="preserve">Movement on early retirement pension provision </t>
  </si>
  <si>
    <t>l)</t>
  </si>
  <si>
    <t>NPD</t>
  </si>
  <si>
    <t>m)</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</si>
  <si>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</si>
  <si>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</si>
  <si>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</si>
  <si>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</si>
  <si>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</si>
  <si>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</si>
  <si>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</si>
  <si>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</si>
  <si>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</si>
  <si>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</si>
  <si>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</si>
  <si>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</si>
  <si>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</si>
  <si>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ANNUAL STAFFING EFFICIENCIES (savings reflected in MYR)</t>
  </si>
  <si>
    <t>FTE</t>
  </si>
  <si>
    <t>FTE Staff reduction - vacancy management</t>
  </si>
  <si>
    <t>FTE Staff reduction - voluntary severance (related restructuring costs to be set out in section 2 below)</t>
  </si>
  <si>
    <t>FTE Staff reduction - compulsory redundancy (redundancy costs to be set out in section 2 below)</t>
  </si>
  <si>
    <t>Staff reduction - total</t>
  </si>
  <si>
    <t>Voluntary severance costs</t>
  </si>
  <si>
    <t>Compulsory redundancy costs</t>
  </si>
  <si>
    <t>Total</t>
  </si>
  <si>
    <t>CHECK - Staff restructuring costs per SOCIE</t>
  </si>
  <si>
    <t>NON-STAFF COST EFFICIENCIES (savings reflected in FFR)</t>
  </si>
  <si>
    <t>Please provide further details in the boxes below.</t>
  </si>
  <si>
    <t>4a</t>
  </si>
  <si>
    <t>Staffing reductions - impact on curriculum and mitigating actions:</t>
  </si>
  <si>
    <t>4b</t>
  </si>
  <si>
    <t>Other mitigating actions:</t>
  </si>
  <si>
    <t>ADJUSTED OPERATING RESULT</t>
  </si>
  <si>
    <t>Add:</t>
  </si>
  <si>
    <r>
      <t xml:space="preserve">Total depreciation (Government-funded, privately funded and NPD-funded assets) net of deferred capital grant release </t>
    </r>
    <r>
      <rPr>
        <i/>
        <sz val="13"/>
        <rFont val="Calibri"/>
        <family val="2"/>
        <scheme val="minor"/>
      </rPr>
      <t>(incorporated colleges only)</t>
    </r>
  </si>
  <si>
    <t>Exceptional non-restructuring items (e.g. impairment costs)</t>
  </si>
  <si>
    <t>Donation to Arms-Length Foundation (incorporated colleges only)</t>
  </si>
  <si>
    <t>Non-cash pension adjustment - net service cost</t>
  </si>
  <si>
    <t>Non-cash pension adjustment - ERP</t>
  </si>
  <si>
    <t>Non-cash pension adjustment -net interest costs</t>
  </si>
  <si>
    <t>Costs of support staff and middle management job evaluation exercise not matched by revenue</t>
  </si>
  <si>
    <t>Deduct:</t>
  </si>
  <si>
    <t>Non-Government capital grants (e.g. ALF capital grant)</t>
  </si>
  <si>
    <r>
      <rPr>
        <sz val="7"/>
        <color rgb="FF000000"/>
        <rFont val="Times New Roman"/>
        <family val="1"/>
      </rPr>
      <t xml:space="preserve"> </t>
    </r>
    <r>
      <rPr>
        <sz val="13"/>
        <color rgb="FF000000"/>
        <rFont val="Calibri"/>
        <family val="2"/>
      </rPr>
      <t xml:space="preserve">Exceptional income (if disclosed as exceptional in accounts) </t>
    </r>
  </si>
  <si>
    <r>
      <t xml:space="preserve">Revenue budget allocated to loan repayments and other capital items </t>
    </r>
    <r>
      <rPr>
        <i/>
        <sz val="13"/>
        <rFont val="Calibri"/>
        <family val="2"/>
      </rPr>
      <t>(incorporated colleges only)</t>
    </r>
  </si>
  <si>
    <t>NPD payments to reduce NPD balance sheet debt</t>
  </si>
  <si>
    <t>Adjusted operating result</t>
  </si>
  <si>
    <r>
      <t xml:space="preserve">Revenue budget allocated to non-revenue expenditure </t>
    </r>
    <r>
      <rPr>
        <b/>
        <i/>
        <sz val="13"/>
        <rFont val="Calibri"/>
        <family val="2"/>
        <scheme val="minor"/>
      </rPr>
      <t>(incorporated colleges)</t>
    </r>
    <r>
      <rPr>
        <b/>
        <sz val="13"/>
        <rFont val="Calibri"/>
        <family val="2"/>
        <scheme val="minor"/>
      </rPr>
      <t>:</t>
    </r>
  </si>
  <si>
    <t>Revenue priorities</t>
  </si>
  <si>
    <t>Student support funding</t>
  </si>
  <si>
    <t xml:space="preserve">2015-16 pay award </t>
  </si>
  <si>
    <t>Voluntary severance</t>
  </si>
  <si>
    <t>Estates costs</t>
  </si>
  <si>
    <t>Other - please describe</t>
  </si>
  <si>
    <t>Total impact on operating position</t>
  </si>
  <si>
    <t>Capital priorities</t>
  </si>
  <si>
    <t>Loan repayments</t>
  </si>
  <si>
    <t>NPD / PFI repayments</t>
  </si>
  <si>
    <t>Provisions pre 1 April 2014</t>
  </si>
  <si>
    <t xml:space="preserve">Total cash budget for priorities spend </t>
  </si>
  <si>
    <t>Balance Sheet</t>
  </si>
  <si>
    <t>Non-current assets</t>
  </si>
  <si>
    <t>Intangible assets</t>
  </si>
  <si>
    <t>Fixed assets</t>
  </si>
  <si>
    <t>Investments</t>
  </si>
  <si>
    <t>Total non-current assets</t>
  </si>
  <si>
    <t>Current assets</t>
  </si>
  <si>
    <t>Stock</t>
  </si>
  <si>
    <t>Debtors</t>
  </si>
  <si>
    <t>Cash and cash equivalents</t>
  </si>
  <si>
    <t>Other (e.g. assets for resale)</t>
  </si>
  <si>
    <t>Total current assets</t>
  </si>
  <si>
    <t>Creditors: amounts falling due within one year</t>
  </si>
  <si>
    <t>Bank loans and external borrowing</t>
  </si>
  <si>
    <t>Bank overdrafts</t>
  </si>
  <si>
    <t>Lennartz creditor</t>
  </si>
  <si>
    <t>Obligations under finance leases and service concessions</t>
  </si>
  <si>
    <t>Payments received in advance</t>
  </si>
  <si>
    <t>Amounts owed to Funding Council</t>
  </si>
  <si>
    <t>Obligations under PFI/NPD</t>
  </si>
  <si>
    <t>Deferred capital grant</t>
  </si>
  <si>
    <t>Other creditors and accruals</t>
  </si>
  <si>
    <t>Total creditors &lt; 1year</t>
  </si>
  <si>
    <t>Share of net assets/(liabilities) in associate</t>
  </si>
  <si>
    <t>NET CURRENT ASSETS/LIABILITIES</t>
  </si>
  <si>
    <t>TOTAL ASSETS LESS CURRENT LIABILITIES</t>
  </si>
  <si>
    <t>Creditors: amounts falling due after more than one year</t>
  </si>
  <si>
    <t>Local authority loans</t>
  </si>
  <si>
    <t>Finance leases and service concessions</t>
  </si>
  <si>
    <t>Amounts repayable to Funding Council</t>
  </si>
  <si>
    <t>Other creditors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</si>
  <si>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</si>
  <si>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</si>
  <si>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</si>
  <si>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</si>
  <si>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</si>
  <si>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</si>
  <si>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</si>
  <si>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</si>
  <si>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</si>
  <si>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</si>
  <si>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</si>
  <si>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</si>
  <si>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</si>
  <si>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Check</t>
  </si>
  <si>
    <t>LIQUIDITY ANALYSIS</t>
  </si>
  <si>
    <t>I-------------Variance------------I</t>
  </si>
  <si>
    <t>Stocks</t>
  </si>
  <si>
    <t>Total Current Assets</t>
  </si>
  <si>
    <r>
      <t xml:space="preserve">Less Creditors: Amounts falling due within one year </t>
    </r>
    <r>
      <rPr>
        <b/>
        <sz val="10"/>
        <color rgb="FF0070C0"/>
        <rFont val="Calibri"/>
        <family val="2"/>
        <scheme val="minor"/>
      </rPr>
      <t>excl Deferred Capital Grants</t>
    </r>
  </si>
  <si>
    <t>Amounts owed to SFC</t>
  </si>
  <si>
    <r>
      <t>Obligations under PFI / NPD</t>
    </r>
    <r>
      <rPr>
        <sz val="10"/>
        <color rgb="FFFF0000"/>
        <rFont val="Calibri"/>
        <family val="2"/>
        <scheme val="minor"/>
      </rPr>
      <t xml:space="preserve"> (Unfunded Only)</t>
    </r>
  </si>
  <si>
    <r>
      <t xml:space="preserve">Total Creditors: Amounts falling due within one year </t>
    </r>
    <r>
      <rPr>
        <b/>
        <sz val="10"/>
        <color rgb="FF0070C0"/>
        <rFont val="Calibri"/>
        <family val="2"/>
        <scheme val="minor"/>
      </rPr>
      <t>excl Deferred Capital Grants</t>
    </r>
  </si>
  <si>
    <t>Liquidity position (Baseline Cash)</t>
  </si>
  <si>
    <t>Liquidity ratio</t>
  </si>
  <si>
    <t>ADDITIONAL INFORMATION</t>
  </si>
  <si>
    <r>
      <t xml:space="preserve">Longer Term Obligations under PFI / NPD </t>
    </r>
    <r>
      <rPr>
        <b/>
        <sz val="10"/>
        <color rgb="FFFF0000"/>
        <rFont val="Calibri"/>
        <family val="2"/>
        <scheme val="minor"/>
      </rPr>
      <t>(Unfunded Only)</t>
    </r>
  </si>
  <si>
    <t>Other Longer Term Liabilities in Balance Sheet resulting in cash outflows</t>
  </si>
  <si>
    <t>Other Cash Commitments not included in Balance Sheet</t>
  </si>
  <si>
    <t>Liquidity position less Longer Term Cash Liabilities/Commitments</t>
  </si>
  <si>
    <t>Breakdown of cash and cash equivalents</t>
  </si>
  <si>
    <t>Figure per balance sheet</t>
  </si>
  <si>
    <t>Representing:</t>
  </si>
  <si>
    <t>Funds from disposal of fixed assets</t>
  </si>
  <si>
    <t>Funds held for third parties</t>
  </si>
  <si>
    <t>Student support funds</t>
  </si>
  <si>
    <t>Funds due to be returned to SFC</t>
  </si>
  <si>
    <t>Other restricted funds</t>
  </si>
  <si>
    <t>Underlying cash</t>
  </si>
  <si>
    <t>Cashflow</t>
  </si>
  <si>
    <t>Cash flow from operating activities</t>
  </si>
  <si>
    <t xml:space="preserve">Surplus / (deficit) for the year </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</si>
  <si>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</si>
  <si>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</si>
  <si>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</si>
  <si>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</si>
  <si>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</si>
  <si>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</si>
  <si>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</si>
  <si>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</si>
  <si>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</si>
  <si>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</si>
  <si>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Receipt of donated equipment</t>
  </si>
  <si>
    <t>Share of operating surplus / (deficit) in joint venture</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</si>
  <si>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</si>
  <si>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</si>
  <si>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</si>
  <si>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</si>
  <si>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</si>
  <si>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</si>
  <si>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</si>
  <si>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</si>
  <si>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</si>
  <si>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</si>
  <si>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</si>
  <si>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</si>
  <si>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</si>
  <si>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</si>
  <si>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</si>
  <si>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</si>
  <si>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</si>
  <si>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</si>
  <si>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</si>
  <si>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</si>
  <si>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</si>
  <si>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</si>
  <si>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</si>
  <si>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</si>
  <si>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</si>
  <si>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</si>
  <si>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</si>
  <si>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</si>
  <si>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</si>
  <si>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</si>
  <si>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</si>
  <si>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</si>
  <si>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</si>
  <si>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Capital Expenditure Projects and Forecast Methods of Financing</t>
  </si>
  <si>
    <t>Expenditure:</t>
  </si>
  <si>
    <t>Land &amp; Buildings</t>
  </si>
  <si>
    <t>Equipment &amp; Others</t>
  </si>
  <si>
    <t>Financed by:</t>
  </si>
  <si>
    <t>Cash reserves</t>
  </si>
  <si>
    <t>Arms Length Foundation</t>
  </si>
  <si>
    <t>Leasing</t>
  </si>
  <si>
    <t>SFC/RSB grant</t>
  </si>
  <si>
    <r>
      <t xml:space="preserve">Re-investment of proceeds from disposal of assets </t>
    </r>
    <r>
      <rPr>
        <b/>
        <sz val="11"/>
        <rFont val="Calibri"/>
        <family val="2"/>
        <scheme val="minor"/>
      </rPr>
      <t>*</t>
    </r>
  </si>
  <si>
    <t>Non-SFC/RSB grants</t>
  </si>
  <si>
    <t>PFI/NPD</t>
  </si>
  <si>
    <t>Other - please specify if material</t>
  </si>
  <si>
    <r>
      <rPr>
        <b/>
        <sz val="11"/>
        <rFont val="Calibri"/>
        <family val="2"/>
        <scheme val="minor"/>
      </rPr>
      <t>*</t>
    </r>
    <r>
      <rPr>
        <sz val="11"/>
        <rFont val="Calibri"/>
        <family val="2"/>
        <scheme val="minor"/>
      </rPr>
      <t xml:space="preserve"> to be included only where this has been agreed by SFC</t>
    </r>
  </si>
  <si>
    <t>Capital disposals</t>
  </si>
  <si>
    <t>Disposal proceeds:</t>
  </si>
  <si>
    <t>Asset description</t>
  </si>
  <si>
    <t>Gain/(loss) on disposal:</t>
  </si>
  <si>
    <t>FINANCIAL SUMMARY</t>
  </si>
  <si>
    <t xml:space="preserve"> </t>
  </si>
  <si>
    <t>Income ratios</t>
  </si>
  <si>
    <t>Total Income</t>
  </si>
  <si>
    <t>Total Funding Council Grant (excluding release of deferred capital grant) as % of Total Income</t>
  </si>
  <si>
    <t>Total non-Funding Council Grant (including release of SFC DCG) as % of Total Income</t>
  </si>
  <si>
    <t>Total Education Contracts and Tuition Fees as % of Total Income</t>
  </si>
  <si>
    <t>Total Research Grants and Contracts as % of Total Income</t>
  </si>
  <si>
    <t>Total Other Income as % of Total Income</t>
  </si>
  <si>
    <t>Expenditure ratios</t>
  </si>
  <si>
    <t>Total Expenditure</t>
  </si>
  <si>
    <t>Salaries as % of Total Expenditure excluding Depreciation</t>
  </si>
  <si>
    <t>Other operating costs as % of Total Expenditure excluding Depreciation</t>
  </si>
  <si>
    <t>Depreciation/amortisation as % of Total Expenditure</t>
  </si>
  <si>
    <t>Operating position</t>
  </si>
  <si>
    <t>Operating Surplus/(deficit)</t>
  </si>
  <si>
    <t>Operating Surplus/(deficit) as % of Total Income</t>
  </si>
  <si>
    <t>Adjusted operating surplus/(deficit)</t>
  </si>
  <si>
    <t>Adjusted operating surplus/(deficit) as % of Total Income</t>
  </si>
  <si>
    <t>Cash Position</t>
  </si>
  <si>
    <t>Cash and Current Asset Investments</t>
  </si>
  <si>
    <t>Overdrafts</t>
  </si>
  <si>
    <t>Days Ratio of Cash to Total Expenditure</t>
  </si>
  <si>
    <t>Net cash inflow/(outflow) from operating activities</t>
  </si>
  <si>
    <t>Net cash inflow/(outflow) from operating activities as % of Total Income</t>
  </si>
  <si>
    <t>Net cash inflow/(outflow) from operating activities as % of Total Borrowing</t>
  </si>
  <si>
    <t>Balance Sheet strength</t>
  </si>
  <si>
    <t>Liquidity Ratio</t>
  </si>
  <si>
    <t>Unrestricted reserves as % of Total Income</t>
  </si>
  <si>
    <t>Total borrowing (Overdrafts, Loans, Finance Leases, PFI/NPD)</t>
  </si>
  <si>
    <t>Interest cover</t>
  </si>
  <si>
    <t>South Lanarkshire College</t>
  </si>
  <si>
    <t>Pay Award &gt; Budget</t>
  </si>
  <si>
    <t>Underaccrual of curriculum pay awards settled in 2024-25</t>
  </si>
  <si>
    <t>Additional VS applications received to support College restructure (includes pension strain cost)</t>
  </si>
  <si>
    <t xml:space="preserve">VAT expense - £142k </t>
  </si>
  <si>
    <t xml:space="preserve">Additional Depreciation in respect of removal of College building residual value in 23-24 statutory accounts </t>
  </si>
  <si>
    <t xml:space="preserve">Additional full cost recovery courses </t>
  </si>
  <si>
    <t xml:space="preserve">Additional ALF grant release in year </t>
  </si>
  <si>
    <t xml:space="preserve">Revaluation impact from 23-24 statutory accounts resulting in lower NBV </t>
  </si>
  <si>
    <t xml:space="preserve">Release of debtor balance in respect of SG Funded Job Evaluation </t>
  </si>
  <si>
    <t>Incease in cash due to employment tribunal settlement savings (£1M)</t>
  </si>
  <si>
    <t>Includes £1,045M Job Evaluation Provision</t>
  </si>
  <si>
    <t>Due to prior year revaluation movements</t>
  </si>
  <si>
    <t>Prior year Nursery rental £87k versus £40k this year</t>
  </si>
  <si>
    <t xml:space="preserve">STEP £3k &amp; CLIC £190k </t>
  </si>
  <si>
    <t>Elaine McKechnie</t>
  </si>
  <si>
    <t>07854 418480</t>
  </si>
  <si>
    <t>elaine.mckechnie@slc.ac.uk</t>
  </si>
  <si>
    <t xml:space="preserve">Additional VAT expense on Utility bills - prior 4 year correction </t>
  </si>
  <si>
    <t xml:space="preserve">Through the Voluntaty Severance process, staffing reductions have been considered by the panel on the basis of 3 factors: 
1. Does the removal of a role help support the future structure of the College? 
2. What would the workload impact be on the team of the role being removed from the College? 
3. Would a replacement role be required (either full or partial) to support the reduction in headcount? 
Where a role would need to be fully replaced, the vacancy would create too much workload for other colleagues to absorb or the role does not support any plans for growth/future state of a support or curriculum area, the request has been rejected. Applications have been welcomed from some curriculum areas where there was known over-staffing, such as hairdressing, beauty and make up and early education and childcare.  These post vacancies do not create any additional risk to the College and still enable the College to offer provision to students based on current and expected level of future demand.    
On this basis, the College believes that it has taken appropriate mitigating action to ensure that the resultng workforce will be sufficient to support the strategic aims of the College with its restructure in place. 
It is also worth noting that all applications have been equality impact assessed to ensure that no unintentional bias is shown to any group or individual, ensuring that the the process is fair and balanced.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</si>
</sst>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
    <numFmt numFmtId="165" formatCode="General_)"/>
    <numFmt numFmtId="166" formatCode="#,##0;\(#,##0\)"/>
    <numFmt numFmtId="167" formatCode="0%;\(0%\)"/>
    <numFmt numFmtId="168" formatCode="#,##0_ ;\-#,##0\ "/>
    <numFmt numFmtId="169" formatCode="[$-F800]dddd\,\ mmmm\ dd\,\ yyyy"/>
  </numFmts>
  <fonts count="45" x14ac:knownFonts="1">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i/>
      <sz val="11"/>
      <name val="Calibri"/>
      <family val="2"/>
    </font>
    <font>
      <i/>
      <sz val="11"/>
      <name val="Calibri"/>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sz val="9"/>
      <name val="Calibri"/>
      <family val="2"/>
      <scheme val="minor"/>
    </font>
    <font>
      <sz val="10"/>
      <name val="Arial"/>
      <family val="2"/>
    </font>
    <font>
      <sz val="12"/>
      <name val="Calibri"/>
      <family val="2"/>
      <scheme val="minor"/>
    </font>
    <font>
      <sz val="11"/>
      <color rgb="FF000000"/>
      <name val="Calibri"/>
      <family val="2"/>
    </font>
    <font>
      <sz val="10"/>
      <color theme="1"/>
      <name val="Corbel"/>
      <family val="2"/>
    </font>
    <font>
      <b/>
      <i/>
      <sz val="11"/>
      <name val="Calibri"/>
      <family val="2"/>
      <scheme val="minor"/>
    </font>
    <font>
      <sz val="11"/>
      <name val="Arial"/>
      <family val="2"/>
    </font>
    <font>
      <b/>
      <sz val="11"/>
      <color theme="1"/>
      <name val="Calibri"/>
      <family val="2"/>
      <scheme val="minor"/>
    </font>
    <font>
      <b/>
      <sz val="10"/>
      <color rgb="FF0070C0"/>
      <name val="Calibri"/>
      <family val="2"/>
      <scheme val="minor"/>
    </font>
    <font>
      <sz val="10"/>
      <color rgb="FFFF0000"/>
      <name val="Calibri"/>
      <family val="2"/>
      <scheme val="minor"/>
    </font>
    <font>
      <b/>
      <sz val="10"/>
      <color rgb="FFFF0000"/>
      <name val="Calibri"/>
      <family val="2"/>
      <scheme val="minor"/>
    </font>
    <font>
      <sz val="7"/>
      <color rgb="FF000000"/>
      <name val="Times New Roman"/>
      <family val="1"/>
    </font>
    <font>
      <sz val="13"/>
      <color rgb="FF000000"/>
      <name val="Calibri"/>
      <family val="2"/>
    </font>
    <font>
      <sz val="11"/>
      <color rgb="FFFF0000"/>
      <name val="Calibri"/>
      <family val="2"/>
      <scheme val="minor"/>
    </font>
    <font>
      <b/>
      <sz val="10"/>
      <name val="Calibri"/>
      <family val="2"/>
    </font>
    <font>
      <b/>
      <sz val="9"/>
      <name val="Calibri"/>
      <family val="2"/>
    </font>
    <font>
      <u/>
      <sz val="10"/>
      <color theme="1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auto="1"/>
      </right>
      <top/>
      <bottom/>
      <diagonal/>
    </border>
    <border>
      <left/>
      <right/>
      <top/>
      <bottom style="double">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s>
  <cellStyleXfs count="25">
    <xf numFmtId="0" fontId="0" fillId="0" borderId="0"/>
    <xf numFmtId="165" fontId="5"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43" fontId="29"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31" fillId="0" borderId="0" applyBorder="0"/>
    <xf numFmtId="0" fontId="32"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0" fontId="44" fillId="0" borderId="0" applyNumberFormat="0" applyFill="0" applyBorder="0" applyAlignment="0" applyProtection="0"/>
  </cellStyleXfs>
  <cellXfs count="358">
    <xf numFmtId="0" fontId="0" fillId="0" borderId="0" xfId="0"/>
    <xf numFmtId="0" fontId="0" fillId="3" borderId="0" xfId="0" applyFill="1"/>
    <xf numFmtId="0" fontId="2" fillId="3" borderId="0" xfId="0" applyFont="1" applyFill="1" applyAlignment="1">
      <alignment vertical="center"/>
    </xf>
    <xf numFmtId="0" fontId="2" fillId="3" borderId="0" xfId="0" applyFont="1" applyFill="1" applyAlignment="1">
      <alignment horizontal="center" vertical="center" wrapText="1"/>
    </xf>
    <xf numFmtId="0" fontId="3" fillId="3" borderId="0" xfId="0" applyFont="1" applyFill="1"/>
    <xf numFmtId="0" fontId="3" fillId="3" borderId="0" xfId="0" applyFont="1" applyFill="1" applyAlignment="1">
      <alignment wrapText="1"/>
    </xf>
    <xf numFmtId="166" fontId="6" fillId="3" borderId="0" xfId="0" applyNumberFormat="1" applyFont="1" applyFill="1"/>
    <xf numFmtId="0" fontId="6" fillId="3" borderId="0" xfId="0" quotePrefix="1" applyFont="1" applyFill="1" applyAlignment="1">
      <alignment horizontal="center"/>
    </xf>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xf numFmtId="166" fontId="9" fillId="3" borderId="3" xfId="0" applyNumberFormat="1" applyFont="1" applyFill="1" applyBorder="1"/>
    <xf numFmtId="166" fontId="9" fillId="3" borderId="2" xfId="0" applyNumberFormat="1" applyFont="1" applyFill="1" applyBorder="1" applyAlignment="1">
      <alignment wrapText="1"/>
    </xf>
    <xf numFmtId="0" fontId="8" fillId="3" borderId="0" xfId="0" applyFont="1" applyFill="1"/>
    <xf numFmtId="0" fontId="7" fillId="3" borderId="0" xfId="0" applyFont="1" applyFill="1"/>
    <xf numFmtId="0" fontId="9" fillId="3" borderId="0" xfId="0" applyFont="1" applyFill="1"/>
    <xf numFmtId="0" fontId="8" fillId="3" borderId="0" xfId="0" applyFont="1" applyFill="1" applyAlignment="1">
      <alignment horizontal="left"/>
    </xf>
    <xf numFmtId="0" fontId="8" fillId="3" borderId="0" xfId="0" applyFont="1" applyFill="1" applyAlignment="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lignment vertical="center"/>
    </xf>
    <xf numFmtId="164" fontId="7" fillId="3" borderId="0" xfId="0" applyNumberFormat="1" applyFont="1" applyFill="1"/>
    <xf numFmtId="0" fontId="8" fillId="3" borderId="0" xfId="0" applyFont="1" applyFill="1" applyAlignment="1">
      <alignment vertical="center"/>
    </xf>
    <xf numFmtId="0" fontId="8" fillId="3" borderId="0" xfId="0" applyFont="1" applyFill="1" applyAlignment="1">
      <alignment vertical="center" wrapText="1"/>
    </xf>
    <xf numFmtId="0" fontId="7" fillId="3" borderId="0" xfId="0" applyFont="1" applyFill="1" applyAlignment="1">
      <alignment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2" fontId="9" fillId="3" borderId="7"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5" fillId="2" borderId="1" xfId="0" applyFont="1" applyFill="1" applyBorder="1" applyAlignment="1">
      <alignment vertical="top"/>
    </xf>
    <xf numFmtId="0" fontId="16" fillId="3" borderId="0" xfId="0" applyFont="1" applyFill="1" applyAlignment="1">
      <alignment horizontal="center" vertical="center" wrapText="1"/>
    </xf>
    <xf numFmtId="9" fontId="9" fillId="3" borderId="0" xfId="0" applyNumberFormat="1" applyFont="1" applyFill="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lignment horizontal="right" vertical="center"/>
    </xf>
    <xf numFmtId="166" fontId="12" fillId="3" borderId="0" xfId="0" applyNumberFormat="1" applyFont="1" applyFill="1" applyAlignment="1">
      <alignment horizontal="right" vertical="center"/>
    </xf>
    <xf numFmtId="166" fontId="13" fillId="3" borderId="0" xfId="0" applyNumberFormat="1" applyFont="1" applyFill="1" applyAlignment="1">
      <alignment horizontal="right" vertical="center"/>
    </xf>
    <xf numFmtId="166" fontId="8" fillId="3" borderId="0" xfId="0" applyNumberFormat="1" applyFont="1" applyFill="1" applyAlignment="1">
      <alignment horizontal="right" vertical="center"/>
    </xf>
    <xf numFmtId="0" fontId="7" fillId="3" borderId="0" xfId="0" applyFont="1" applyFill="1" applyAlignment="1">
      <alignment horizontal="right" vertical="center"/>
    </xf>
    <xf numFmtId="166" fontId="8" fillId="3" borderId="0" xfId="0" applyNumberFormat="1" applyFont="1" applyFill="1" applyAlignment="1">
      <alignment horizontal="right" vertical="center" wrapText="1"/>
    </xf>
    <xf numFmtId="0" fontId="8" fillId="0" borderId="0" xfId="0" applyFont="1" applyAlignment="1">
      <alignment vertical="center"/>
    </xf>
    <xf numFmtId="166" fontId="7" fillId="4" borderId="0" xfId="0" applyNumberFormat="1" applyFont="1" applyFill="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9" fillId="3" borderId="4" xfId="0" applyNumberFormat="1" applyFont="1" applyFill="1" applyBorder="1"/>
    <xf numFmtId="2" fontId="9" fillId="0" borderId="4" xfId="0" applyNumberFormat="1" applyFont="1" applyBorder="1" applyAlignment="1">
      <alignment horizontal="center" vertical="center"/>
    </xf>
    <xf numFmtId="0" fontId="10" fillId="3" borderId="0" xfId="0" applyFont="1" applyFill="1" applyAlignment="1">
      <alignment horizontal="center" vertical="center" wrapText="1"/>
    </xf>
    <xf numFmtId="0" fontId="20" fillId="0" borderId="0" xfId="0" applyFont="1" applyAlignment="1">
      <alignment wrapText="1"/>
    </xf>
    <xf numFmtId="0" fontId="19" fillId="0" borderId="0" xfId="0" applyFont="1" applyAlignment="1">
      <alignment horizontal="center" vertical="center" wrapText="1"/>
    </xf>
    <xf numFmtId="0" fontId="15"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wrapText="1"/>
    </xf>
    <xf numFmtId="166" fontId="19" fillId="0" borderId="0" xfId="0" applyNumberFormat="1" applyFont="1" applyAlignment="1">
      <alignment horizontal="right"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19" fillId="0" borderId="0" xfId="0" applyFont="1" applyAlignment="1">
      <alignment vertical="center"/>
    </xf>
    <xf numFmtId="166" fontId="20" fillId="0" borderId="0" xfId="0" applyNumberFormat="1" applyFont="1" applyAlignment="1">
      <alignment horizontal="right" vertical="center" wrapText="1"/>
    </xf>
    <xf numFmtId="166" fontId="20" fillId="5" borderId="1" xfId="0" applyNumberFormat="1" applyFont="1" applyFill="1" applyBorder="1" applyAlignment="1" applyProtection="1">
      <alignment horizontal="right" vertical="center" wrapText="1"/>
      <protection locked="0"/>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166" fontId="9" fillId="3" borderId="3" xfId="0" applyNumberFormat="1" applyFont="1" applyFill="1" applyBorder="1" applyAlignment="1">
      <alignment horizontal="center"/>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8" fillId="3" borderId="0" xfId="0" applyFont="1" applyFill="1" applyAlignment="1">
      <alignment horizontal="center" vertical="center" wrapText="1"/>
    </xf>
    <xf numFmtId="0" fontId="7" fillId="3" borderId="0" xfId="0" applyFont="1" applyFill="1" applyAlignment="1">
      <alignment horizontal="center"/>
    </xf>
    <xf numFmtId="0" fontId="21" fillId="5" borderId="1" xfId="0" applyFont="1" applyFill="1" applyBorder="1" applyAlignment="1" applyProtection="1">
      <alignment wrapText="1"/>
      <protection locked="0"/>
    </xf>
    <xf numFmtId="0" fontId="19" fillId="0" borderId="0" xfId="0" applyFont="1" applyAlignment="1">
      <alignment vertical="center" wrapText="1"/>
    </xf>
    <xf numFmtId="166" fontId="8" fillId="4" borderId="0" xfId="0" applyNumberFormat="1" applyFont="1" applyFill="1" applyAlignment="1">
      <alignment horizontal="right" vertical="center" wrapText="1"/>
    </xf>
    <xf numFmtId="166" fontId="8" fillId="4" borderId="0" xfId="0" applyNumberFormat="1" applyFont="1" applyFill="1" applyAlignment="1">
      <alignment horizontal="right" vertical="center"/>
    </xf>
    <xf numFmtId="0" fontId="19" fillId="0" borderId="0" xfId="0" applyFont="1" applyAlignment="1">
      <alignment horizontal="left" wrapText="1"/>
    </xf>
    <xf numFmtId="166" fontId="20" fillId="0" borderId="0" xfId="0" applyNumberFormat="1" applyFont="1" applyAlignment="1">
      <alignment vertical="center" wrapText="1"/>
    </xf>
    <xf numFmtId="164" fontId="20" fillId="0" borderId="0" xfId="0" applyNumberFormat="1" applyFont="1" applyAlignment="1">
      <alignment horizontal="center" vertical="center" wrapText="1"/>
    </xf>
    <xf numFmtId="164" fontId="20" fillId="0" borderId="0" xfId="0" applyNumberFormat="1" applyFont="1" applyAlignment="1">
      <alignment wrapText="1"/>
    </xf>
    <xf numFmtId="166" fontId="19" fillId="0" borderId="17" xfId="0" applyNumberFormat="1" applyFont="1" applyBorder="1" applyAlignment="1">
      <alignment wrapText="1"/>
    </xf>
    <xf numFmtId="166" fontId="19" fillId="0" borderId="13" xfId="0" applyNumberFormat="1" applyFont="1" applyBorder="1" applyAlignment="1">
      <alignment wrapText="1"/>
    </xf>
    <xf numFmtId="166" fontId="8" fillId="3" borderId="0" xfId="0" applyNumberFormat="1" applyFont="1" applyFill="1"/>
    <xf numFmtId="166" fontId="9" fillId="5" borderId="1" xfId="0" applyNumberFormat="1" applyFont="1" applyFill="1" applyBorder="1" applyAlignment="1" applyProtection="1">
      <alignment horizontal="right" vertical="center" wrapText="1"/>
      <protection locked="0"/>
    </xf>
    <xf numFmtId="0" fontId="20" fillId="0" borderId="0" xfId="0" applyFont="1" applyAlignment="1" applyProtection="1">
      <alignment wrapText="1"/>
      <protection locked="0"/>
    </xf>
    <xf numFmtId="164" fontId="9" fillId="3" borderId="4" xfId="0" applyNumberFormat="1" applyFont="1" applyFill="1" applyBorder="1" applyAlignment="1">
      <alignment horizontal="center" vertical="center"/>
    </xf>
    <xf numFmtId="0" fontId="20"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alignment wrapText="1"/>
    </xf>
    <xf numFmtId="3" fontId="9" fillId="0" borderId="2" xfId="0" applyNumberFormat="1" applyFont="1" applyBorder="1" applyAlignment="1">
      <alignment horizontal="center" vertical="center"/>
    </xf>
    <xf numFmtId="0" fontId="25" fillId="0" borderId="0" xfId="0" applyFont="1" applyAlignment="1">
      <alignment wrapText="1"/>
    </xf>
    <xf numFmtId="3" fontId="9" fillId="0" borderId="1" xfId="0" applyNumberFormat="1" applyFont="1" applyBorder="1" applyAlignment="1">
      <alignment horizontal="right" vertical="center" wrapText="1"/>
    </xf>
    <xf numFmtId="166" fontId="9" fillId="0" borderId="1" xfId="0" applyNumberFormat="1" applyFont="1" applyBorder="1" applyAlignment="1">
      <alignment horizontal="right" vertical="center" wrapText="1"/>
    </xf>
    <xf numFmtId="0" fontId="20" fillId="0" borderId="0" xfId="0" applyFont="1" applyAlignment="1" applyProtection="1">
      <alignment vertical="center" wrapText="1"/>
      <protection locked="0"/>
    </xf>
    <xf numFmtId="3" fontId="9" fillId="0" borderId="3" xfId="0" applyNumberFormat="1" applyFont="1" applyBorder="1" applyAlignment="1">
      <alignment horizontal="right" vertical="center" wrapText="1"/>
    </xf>
    <xf numFmtId="166" fontId="20" fillId="0" borderId="1" xfId="0" applyNumberFormat="1" applyFont="1" applyBorder="1" applyAlignment="1">
      <alignment horizontal="right" vertical="center" wrapText="1"/>
    </xf>
    <xf numFmtId="0" fontId="21" fillId="0" borderId="0" xfId="0" applyFont="1"/>
    <xf numFmtId="0" fontId="22" fillId="0" borderId="0" xfId="2" applyFont="1"/>
    <xf numFmtId="0" fontId="22" fillId="0" borderId="0" xfId="2" applyFont="1" applyAlignment="1">
      <alignment horizontal="center" vertical="center"/>
    </xf>
    <xf numFmtId="49" fontId="22" fillId="0" borderId="0" xfId="2" applyNumberFormat="1" applyFont="1" applyAlignment="1">
      <alignment horizontal="center" vertical="center"/>
    </xf>
    <xf numFmtId="0" fontId="19" fillId="0" borderId="0" xfId="2" applyFont="1" applyAlignment="1">
      <alignment horizontal="left"/>
    </xf>
    <xf numFmtId="49" fontId="24" fillId="3" borderId="0" xfId="2" applyNumberFormat="1" applyFont="1" applyFill="1"/>
    <xf numFmtId="0" fontId="22" fillId="0" borderId="0" xfId="2" applyFont="1" applyAlignment="1">
      <alignment vertical="center"/>
    </xf>
    <xf numFmtId="0" fontId="24" fillId="0" borderId="0" xfId="2" applyFont="1" applyAlignment="1">
      <alignment vertical="center"/>
    </xf>
    <xf numFmtId="0" fontId="24" fillId="0" borderId="0" xfId="2" applyFont="1" applyAlignment="1">
      <alignment horizontal="center" vertical="center" wrapText="1"/>
    </xf>
    <xf numFmtId="49" fontId="24" fillId="0" borderId="0" xfId="2" applyNumberFormat="1" applyFont="1" applyAlignment="1">
      <alignment horizontal="center" vertical="center" wrapText="1"/>
    </xf>
    <xf numFmtId="0" fontId="24" fillId="0" borderId="0" xfId="2" quotePrefix="1" applyFont="1" applyAlignment="1">
      <alignment horizontal="center" vertical="center"/>
    </xf>
    <xf numFmtId="49" fontId="24" fillId="0" borderId="0" xfId="2" applyNumberFormat="1" applyFont="1" applyAlignment="1">
      <alignment horizontal="center" wrapText="1"/>
    </xf>
    <xf numFmtId="0" fontId="24" fillId="0" borderId="0" xfId="2" applyFont="1"/>
    <xf numFmtId="0" fontId="24" fillId="0" borderId="0" xfId="2" applyFont="1" applyAlignment="1">
      <alignment vertical="top"/>
    </xf>
    <xf numFmtId="0" fontId="22" fillId="0" borderId="0" xfId="2" applyFont="1" applyAlignment="1">
      <alignment horizontal="left" vertical="center"/>
    </xf>
    <xf numFmtId="166" fontId="22" fillId="0" borderId="0" xfId="2" applyNumberFormat="1" applyFont="1" applyAlignment="1">
      <alignment horizontal="center" vertical="center"/>
    </xf>
    <xf numFmtId="167" fontId="28" fillId="0" borderId="0" xfId="2" applyNumberFormat="1" applyFont="1" applyAlignment="1">
      <alignment horizontal="center" vertical="center"/>
    </xf>
    <xf numFmtId="49" fontId="22" fillId="0" borderId="0" xfId="2" applyNumberFormat="1" applyFont="1" applyAlignment="1">
      <alignment horizontal="center" vertical="center" wrapText="1"/>
    </xf>
    <xf numFmtId="0" fontId="22" fillId="0" borderId="0" xfId="2" applyFont="1" applyAlignment="1">
      <alignment horizontal="left"/>
    </xf>
    <xf numFmtId="166" fontId="22" fillId="5" borderId="1" xfId="2" applyNumberFormat="1" applyFont="1" applyFill="1" applyBorder="1" applyAlignment="1" applyProtection="1">
      <alignment horizontal="center"/>
      <protection locked="0"/>
    </xf>
    <xf numFmtId="166" fontId="22" fillId="0" borderId="1" xfId="2" applyNumberFormat="1" applyFont="1" applyBorder="1" applyAlignment="1">
      <alignment horizontal="center"/>
    </xf>
    <xf numFmtId="166" fontId="22" fillId="0" borderId="0" xfId="2" applyNumberFormat="1" applyFont="1" applyAlignment="1">
      <alignment horizontal="center"/>
    </xf>
    <xf numFmtId="49" fontId="22" fillId="0" borderId="0" xfId="2" applyNumberFormat="1" applyFont="1" applyAlignment="1" applyProtection="1">
      <alignment horizontal="left" wrapText="1"/>
      <protection locked="0"/>
    </xf>
    <xf numFmtId="166" fontId="24" fillId="0" borderId="5" xfId="2" applyNumberFormat="1" applyFont="1" applyBorder="1" applyAlignment="1">
      <alignment horizontal="center" vertical="center"/>
    </xf>
    <xf numFmtId="49" fontId="24" fillId="0" borderId="0" xfId="2" applyNumberFormat="1" applyFont="1" applyAlignment="1" applyProtection="1">
      <alignment horizontal="left" wrapText="1"/>
      <protection locked="0"/>
    </xf>
    <xf numFmtId="166" fontId="24" fillId="0" borderId="0" xfId="2" applyNumberFormat="1" applyFont="1" applyAlignment="1">
      <alignment horizontal="center" vertical="center"/>
    </xf>
    <xf numFmtId="49" fontId="24" fillId="0" borderId="0" xfId="2" applyNumberFormat="1" applyFont="1" applyAlignment="1">
      <alignment horizontal="left" wrapText="1"/>
    </xf>
    <xf numFmtId="0" fontId="22" fillId="0" borderId="0" xfId="2" quotePrefix="1" applyFont="1" applyAlignment="1">
      <alignment horizontal="left"/>
    </xf>
    <xf numFmtId="0" fontId="22" fillId="0" borderId="0" xfId="2" applyFont="1" applyAlignment="1">
      <alignment horizontal="left" vertical="top"/>
    </xf>
    <xf numFmtId="49" fontId="22" fillId="0" borderId="0" xfId="2" applyNumberFormat="1" applyFont="1" applyAlignment="1" applyProtection="1">
      <alignment horizontal="left"/>
      <protection locked="0"/>
    </xf>
    <xf numFmtId="0" fontId="22" fillId="0" borderId="0" xfId="2" applyFont="1" applyAlignment="1">
      <alignment vertical="top"/>
    </xf>
    <xf numFmtId="0" fontId="22" fillId="0" borderId="0" xfId="2" applyFont="1" applyAlignment="1">
      <alignment wrapText="1"/>
    </xf>
    <xf numFmtId="49" fontId="22" fillId="0" borderId="0" xfId="2" applyNumberFormat="1" applyFont="1" applyAlignment="1">
      <alignment horizontal="left" wrapText="1"/>
    </xf>
    <xf numFmtId="0" fontId="22" fillId="0" borderId="0" xfId="2" applyFont="1" applyAlignment="1">
      <alignment horizontal="left" wrapText="1"/>
    </xf>
    <xf numFmtId="166" fontId="22" fillId="5" borderId="3" xfId="2" applyNumberFormat="1" applyFont="1" applyFill="1" applyBorder="1" applyAlignment="1" applyProtection="1">
      <alignment horizontal="center"/>
      <protection locked="0"/>
    </xf>
    <xf numFmtId="166" fontId="22" fillId="0" borderId="5" xfId="2" applyNumberFormat="1" applyFont="1" applyBorder="1" applyAlignment="1">
      <alignment horizontal="center" vertical="center"/>
    </xf>
    <xf numFmtId="0" fontId="19" fillId="0" borderId="0" xfId="2" applyFont="1" applyAlignment="1">
      <alignment horizontal="left" vertical="center"/>
    </xf>
    <xf numFmtId="0" fontId="22" fillId="0" borderId="0" xfId="2" applyFont="1" applyAlignment="1">
      <alignment horizontal="center"/>
    </xf>
    <xf numFmtId="0" fontId="24" fillId="3" borderId="0" xfId="2" applyFont="1" applyFill="1"/>
    <xf numFmtId="0" fontId="24" fillId="0" borderId="0" xfId="2" quotePrefix="1" applyFont="1" applyAlignment="1">
      <alignment horizontal="center"/>
    </xf>
    <xf numFmtId="0" fontId="24" fillId="0" borderId="0" xfId="2" applyFont="1" applyAlignment="1">
      <alignment horizontal="center" wrapText="1"/>
    </xf>
    <xf numFmtId="167" fontId="23" fillId="0" borderId="0" xfId="2" applyNumberFormat="1" applyFont="1" applyAlignment="1">
      <alignment horizontal="center"/>
    </xf>
    <xf numFmtId="166" fontId="22" fillId="0" borderId="0" xfId="2" applyNumberFormat="1" applyFont="1" applyAlignment="1" applyProtection="1">
      <alignment horizontal="left" wrapText="1"/>
      <protection locked="0"/>
    </xf>
    <xf numFmtId="0" fontId="22" fillId="0" borderId="0" xfId="2" applyFont="1" applyProtection="1">
      <protection locked="0"/>
    </xf>
    <xf numFmtId="0" fontId="24" fillId="0" borderId="0" xfId="2" applyFont="1" applyAlignment="1">
      <alignment wrapText="1"/>
    </xf>
    <xf numFmtId="166" fontId="24" fillId="0" borderId="5" xfId="2" applyNumberFormat="1" applyFont="1" applyBorder="1" applyAlignment="1">
      <alignment horizontal="center"/>
    </xf>
    <xf numFmtId="166" fontId="24" fillId="0" borderId="0" xfId="2" applyNumberFormat="1" applyFont="1" applyAlignment="1" applyProtection="1">
      <alignment horizontal="left" wrapText="1"/>
      <protection locked="0"/>
    </xf>
    <xf numFmtId="166" fontId="22" fillId="0" borderId="0" xfId="2" applyNumberFormat="1" applyFont="1" applyAlignment="1">
      <alignment horizontal="left" wrapText="1"/>
    </xf>
    <xf numFmtId="166" fontId="24" fillId="0" borderId="0" xfId="2" applyNumberFormat="1" applyFont="1" applyAlignment="1">
      <alignment horizontal="center"/>
    </xf>
    <xf numFmtId="166" fontId="24" fillId="0" borderId="0" xfId="2" applyNumberFormat="1" applyFont="1" applyAlignment="1">
      <alignment horizontal="left" wrapText="1"/>
    </xf>
    <xf numFmtId="0" fontId="24" fillId="0" borderId="14" xfId="2" applyFont="1" applyBorder="1"/>
    <xf numFmtId="0" fontId="24" fillId="0" borderId="15" xfId="2" applyFont="1" applyBorder="1"/>
    <xf numFmtId="166" fontId="24" fillId="0" borderId="15" xfId="2" applyNumberFormat="1" applyFont="1" applyBorder="1" applyAlignment="1">
      <alignment horizontal="center"/>
    </xf>
    <xf numFmtId="167" fontId="23" fillId="0" borderId="15" xfId="2" applyNumberFormat="1" applyFont="1" applyBorder="1" applyAlignment="1">
      <alignment horizontal="center"/>
    </xf>
    <xf numFmtId="0" fontId="24" fillId="0" borderId="18" xfId="2" applyFont="1" applyBorder="1"/>
    <xf numFmtId="0" fontId="24" fillId="0" borderId="17" xfId="2" applyFont="1" applyBorder="1"/>
    <xf numFmtId="166" fontId="22" fillId="6" borderId="1" xfId="2" applyNumberFormat="1" applyFont="1" applyFill="1" applyBorder="1" applyAlignment="1" applyProtection="1">
      <alignment horizontal="center"/>
      <protection locked="0"/>
    </xf>
    <xf numFmtId="0" fontId="22" fillId="0" borderId="0" xfId="2" quotePrefix="1" applyFont="1" applyAlignment="1">
      <alignment vertical="center"/>
    </xf>
    <xf numFmtId="166" fontId="22" fillId="0" borderId="5" xfId="2" applyNumberFormat="1" applyFont="1" applyBorder="1" applyAlignment="1">
      <alignment horizontal="center"/>
    </xf>
    <xf numFmtId="0" fontId="22" fillId="0" borderId="0" xfId="2" applyFont="1" applyAlignment="1">
      <alignment vertical="top" wrapText="1"/>
    </xf>
    <xf numFmtId="0" fontId="22" fillId="0" borderId="0" xfId="2" applyFont="1" applyAlignment="1">
      <alignment horizontal="center" wrapText="1"/>
    </xf>
    <xf numFmtId="0" fontId="30" fillId="0" borderId="0" xfId="2" applyFont="1" applyAlignment="1">
      <alignment horizontal="right" vertical="top"/>
    </xf>
    <xf numFmtId="166" fontId="24" fillId="0" borderId="18" xfId="2" applyNumberFormat="1" applyFont="1" applyBorder="1" applyAlignment="1">
      <alignment horizontal="left" wrapText="1"/>
    </xf>
    <xf numFmtId="166" fontId="24" fillId="0" borderId="18" xfId="2" applyNumberFormat="1" applyFont="1" applyBorder="1" applyAlignment="1" applyProtection="1">
      <alignment horizontal="left" wrapText="1"/>
      <protection locked="0"/>
    </xf>
    <xf numFmtId="166" fontId="8" fillId="0" borderId="0" xfId="0" applyNumberFormat="1" applyFont="1" applyAlignment="1">
      <alignment horizontal="right" vertic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6" fontId="24" fillId="0" borderId="0" xfId="2" applyNumberFormat="1" applyFont="1" applyAlignment="1">
      <alignment horizontal="center" vertical="center"/>
    </xf>
    <xf numFmtId="166" fontId="22" fillId="0" borderId="3" xfId="2" applyNumberFormat="1" applyFont="1" applyBorder="1" applyAlignment="1">
      <alignment horizontal="center"/>
    </xf>
    <xf numFmtId="0" fontId="8" fillId="0" borderId="0" xfId="0" applyFont="1" applyAlignment="1">
      <alignment horizontal="center" vertical="center" wrapText="1"/>
    </xf>
    <xf numFmtId="166" fontId="24" fillId="0" borderId="17" xfId="2" applyNumberFormat="1" applyFont="1" applyBorder="1" applyAlignment="1">
      <alignment horizontal="center"/>
    </xf>
    <xf numFmtId="166" fontId="24" fillId="0" borderId="1" xfId="2" applyNumberFormat="1" applyFont="1" applyBorder="1" applyAlignment="1">
      <alignment horizontal="center"/>
    </xf>
    <xf numFmtId="168" fontId="20" fillId="0" borderId="0" xfId="5" applyNumberFormat="1" applyFont="1" applyFill="1" applyAlignment="1" applyProtection="1">
      <alignment wrapText="1"/>
    </xf>
    <xf numFmtId="168" fontId="15" fillId="0" borderId="0" xfId="5" applyNumberFormat="1" applyFont="1" applyAlignment="1" applyProtection="1">
      <alignment horizontal="center" vertical="center" wrapText="1"/>
    </xf>
    <xf numFmtId="168" fontId="20" fillId="0" borderId="0" xfId="5" applyNumberFormat="1" applyFont="1" applyBorder="1" applyAlignment="1" applyProtection="1">
      <alignment horizontal="center" vertical="center" wrapText="1"/>
    </xf>
    <xf numFmtId="166" fontId="9" fillId="5" borderId="1" xfId="2" applyNumberFormat="1" applyFont="1" applyFill="1" applyBorder="1" applyAlignment="1" applyProtection="1">
      <alignment horizontal="right"/>
      <protection locked="0"/>
    </xf>
    <xf numFmtId="0" fontId="8" fillId="3" borderId="3" xfId="0" applyFont="1" applyFill="1" applyBorder="1" applyAlignment="1">
      <alignment horizontal="center" vertical="center" wrapText="1"/>
    </xf>
    <xf numFmtId="164" fontId="11" fillId="3" borderId="0" xfId="0" applyNumberFormat="1" applyFont="1" applyFill="1"/>
    <xf numFmtId="3" fontId="22" fillId="3" borderId="0" xfId="0" applyNumberFormat="1" applyFont="1" applyFill="1"/>
    <xf numFmtId="3" fontId="9" fillId="3" borderId="0" xfId="0" applyNumberFormat="1" applyFont="1" applyFill="1"/>
    <xf numFmtId="167" fontId="22" fillId="0" borderId="0" xfId="2" applyNumberFormat="1" applyFont="1" applyAlignment="1">
      <alignment horizontal="center" vertical="center"/>
    </xf>
    <xf numFmtId="3" fontId="22" fillId="0" borderId="0" xfId="0" applyNumberFormat="1" applyFont="1"/>
    <xf numFmtId="167" fontId="24" fillId="0" borderId="0" xfId="2" applyNumberFormat="1" applyFont="1" applyAlignment="1">
      <alignment horizontal="center"/>
    </xf>
    <xf numFmtId="167" fontId="24" fillId="0" borderId="15" xfId="2" applyNumberFormat="1" applyFont="1" applyBorder="1" applyAlignment="1">
      <alignment horizontal="center"/>
    </xf>
    <xf numFmtId="166" fontId="22" fillId="7" borderId="1" xfId="2" applyNumberFormat="1" applyFont="1" applyFill="1" applyBorder="1" applyAlignment="1">
      <alignment horizontal="center"/>
    </xf>
    <xf numFmtId="166" fontId="22" fillId="7" borderId="0" xfId="2" applyNumberFormat="1" applyFont="1" applyFill="1" applyAlignment="1">
      <alignment horizontal="center"/>
    </xf>
    <xf numFmtId="164" fontId="20" fillId="0" borderId="0" xfId="0" applyNumberFormat="1" applyFont="1" applyAlignment="1">
      <alignment vertical="center" wrapText="1"/>
    </xf>
    <xf numFmtId="168" fontId="20" fillId="0" borderId="0" xfId="5" applyNumberFormat="1" applyFont="1" applyFill="1" applyAlignment="1" applyProtection="1">
      <alignment vertical="center" wrapText="1"/>
    </xf>
    <xf numFmtId="0" fontId="19" fillId="0" borderId="0" xfId="0" quotePrefix="1" applyFont="1" applyAlignment="1">
      <alignment horizontal="center" wrapText="1"/>
    </xf>
    <xf numFmtId="6" fontId="19" fillId="0" borderId="0" xfId="0" applyNumberFormat="1" applyFont="1" applyAlignment="1">
      <alignment horizontal="center" wrapText="1"/>
    </xf>
    <xf numFmtId="168" fontId="19" fillId="0" borderId="0" xfId="5" applyNumberFormat="1" applyFont="1" applyAlignment="1" applyProtection="1">
      <alignment horizontal="center" wrapText="1"/>
    </xf>
    <xf numFmtId="0" fontId="10" fillId="3" borderId="0" xfId="0" applyFont="1" applyFill="1" applyAlignment="1">
      <alignment horizontal="left"/>
    </xf>
    <xf numFmtId="0" fontId="10" fillId="3" borderId="0" xfId="0" applyFont="1" applyFill="1"/>
    <xf numFmtId="0" fontId="10" fillId="3" borderId="0" xfId="0" applyFont="1" applyFill="1" applyAlignment="1">
      <alignment vertical="center"/>
    </xf>
    <xf numFmtId="6" fontId="10" fillId="3" borderId="0" xfId="0" quotePrefix="1" applyNumberFormat="1" applyFont="1" applyFill="1" applyAlignment="1">
      <alignment horizontal="center"/>
    </xf>
    <xf numFmtId="6" fontId="10" fillId="3" borderId="0" xfId="0" applyNumberFormat="1" applyFont="1" applyFill="1" applyAlignment="1">
      <alignment horizontal="center"/>
    </xf>
    <xf numFmtId="0" fontId="9" fillId="3" borderId="0" xfId="0" applyFont="1" applyFill="1" applyAlignment="1">
      <alignment vertical="center"/>
    </xf>
    <xf numFmtId="164" fontId="9" fillId="3" borderId="0" xfId="0" applyNumberFormat="1" applyFont="1" applyFill="1"/>
    <xf numFmtId="6" fontId="10" fillId="3" borderId="0" xfId="0" applyNumberFormat="1" applyFont="1" applyFill="1" applyAlignment="1" applyProtection="1">
      <alignment horizontal="center"/>
      <protection locked="0"/>
    </xf>
    <xf numFmtId="166" fontId="10" fillId="0" borderId="0" xfId="0" applyNumberFormat="1" applyFont="1" applyAlignment="1">
      <alignment horizontal="right" vertical="center"/>
    </xf>
    <xf numFmtId="166" fontId="10" fillId="3" borderId="0" xfId="0" applyNumberFormat="1" applyFont="1" applyFill="1" applyAlignment="1">
      <alignment horizontal="right" vertical="center"/>
    </xf>
    <xf numFmtId="166" fontId="9" fillId="0" borderId="0" xfId="0" applyNumberFormat="1" applyFont="1" applyAlignment="1">
      <alignment horizontal="right" vertical="center"/>
    </xf>
    <xf numFmtId="166" fontId="9" fillId="3" borderId="0" xfId="0" applyNumberFormat="1" applyFont="1" applyFill="1" applyAlignment="1">
      <alignment horizontal="right" vertical="center"/>
    </xf>
    <xf numFmtId="0" fontId="9" fillId="3" borderId="0" xfId="0" applyFont="1" applyFill="1" applyAlignment="1">
      <alignment vertical="center" wrapText="1"/>
    </xf>
    <xf numFmtId="0" fontId="9" fillId="3" borderId="0" xfId="0" applyFont="1" applyFill="1" applyAlignment="1">
      <alignment vertical="top"/>
    </xf>
    <xf numFmtId="166" fontId="10" fillId="0" borderId="0" xfId="0" applyNumberFormat="1" applyFont="1" applyAlignment="1">
      <alignment horizontal="right"/>
    </xf>
    <xf numFmtId="166" fontId="10" fillId="3" borderId="0" xfId="0" applyNumberFormat="1" applyFont="1" applyFill="1" applyAlignment="1">
      <alignment horizontal="right"/>
    </xf>
    <xf numFmtId="166" fontId="33" fillId="0" borderId="0" xfId="0" applyNumberFormat="1" applyFont="1" applyAlignment="1">
      <alignment horizontal="right" vertical="center"/>
    </xf>
    <xf numFmtId="166" fontId="33" fillId="3" borderId="0" xfId="0" applyNumberFormat="1" applyFont="1" applyFill="1" applyAlignment="1">
      <alignment horizontal="right" vertical="center"/>
    </xf>
    <xf numFmtId="166" fontId="10" fillId="0" borderId="5" xfId="0" applyNumberFormat="1" applyFont="1" applyBorder="1" applyAlignment="1">
      <alignment horizontal="right" vertical="center"/>
    </xf>
    <xf numFmtId="166" fontId="10" fillId="3" borderId="5" xfId="0" applyNumberFormat="1" applyFont="1" applyFill="1" applyBorder="1" applyAlignment="1">
      <alignment horizontal="right" vertical="center"/>
    </xf>
    <xf numFmtId="0" fontId="10" fillId="3" borderId="0" xfId="0" applyFont="1" applyFill="1" applyAlignment="1">
      <alignment vertical="top"/>
    </xf>
    <xf numFmtId="166" fontId="10" fillId="0" borderId="0" xfId="0" applyNumberFormat="1" applyFont="1" applyAlignment="1">
      <alignment horizontal="right" vertical="top"/>
    </xf>
    <xf numFmtId="166" fontId="10" fillId="3" borderId="0" xfId="0" applyNumberFormat="1" applyFont="1" applyFill="1" applyAlignment="1">
      <alignment horizontal="right" vertical="top"/>
    </xf>
    <xf numFmtId="164" fontId="9" fillId="3" borderId="0" xfId="0" applyNumberFormat="1" applyFont="1" applyFill="1" applyAlignment="1">
      <alignment vertical="top"/>
    </xf>
    <xf numFmtId="6" fontId="10" fillId="3" borderId="0" xfId="0" applyNumberFormat="1" applyFont="1" applyFill="1" applyAlignment="1" applyProtection="1">
      <alignment horizontal="center" vertical="top"/>
      <protection locked="0"/>
    </xf>
    <xf numFmtId="166" fontId="10" fillId="0" borderId="6" xfId="0" applyNumberFormat="1" applyFont="1" applyBorder="1" applyAlignment="1">
      <alignment horizontal="right" vertical="center"/>
    </xf>
    <xf numFmtId="166" fontId="10" fillId="3" borderId="6" xfId="0" applyNumberFormat="1" applyFont="1" applyFill="1" applyBorder="1" applyAlignment="1">
      <alignment horizontal="right" vertical="center"/>
    </xf>
    <xf numFmtId="166" fontId="9" fillId="0" borderId="8" xfId="0" applyNumberFormat="1" applyFont="1" applyBorder="1" applyAlignment="1">
      <alignment horizontal="right" vertical="center"/>
    </xf>
    <xf numFmtId="166" fontId="9" fillId="4" borderId="8" xfId="0" applyNumberFormat="1" applyFont="1" applyFill="1" applyBorder="1" applyAlignment="1">
      <alignment horizontal="right" vertical="center"/>
    </xf>
    <xf numFmtId="166" fontId="9" fillId="4" borderId="0" xfId="0" applyNumberFormat="1" applyFont="1" applyFill="1" applyAlignment="1">
      <alignment horizontal="right" vertical="center"/>
    </xf>
    <xf numFmtId="166" fontId="9" fillId="0" borderId="0" xfId="0" applyNumberFormat="1" applyFont="1" applyAlignment="1">
      <alignment horizontal="right"/>
    </xf>
    <xf numFmtId="166" fontId="9" fillId="3" borderId="0" xfId="0" applyNumberFormat="1" applyFont="1" applyFill="1" applyAlignment="1">
      <alignment horizontal="right"/>
    </xf>
    <xf numFmtId="0" fontId="9" fillId="3" borderId="0" xfId="0" applyFont="1" applyFill="1" applyAlignment="1">
      <alignment horizontal="right"/>
    </xf>
    <xf numFmtId="0" fontId="10" fillId="0" borderId="0" xfId="0" applyFont="1"/>
    <xf numFmtId="0" fontId="9" fillId="0" borderId="0" xfId="0" applyFont="1"/>
    <xf numFmtId="0" fontId="9" fillId="0" borderId="0" xfId="0" applyFont="1" applyAlignment="1">
      <alignment vertical="center"/>
    </xf>
    <xf numFmtId="0" fontId="10" fillId="0" borderId="0" xfId="0" applyFont="1" applyAlignment="1">
      <alignment horizontal="center" wrapText="1"/>
    </xf>
    <xf numFmtId="0" fontId="10" fillId="0" borderId="0" xfId="0" applyFont="1" applyAlignment="1">
      <alignment horizontal="left" vertical="center"/>
    </xf>
    <xf numFmtId="0" fontId="10" fillId="0" borderId="0" xfId="0" applyFont="1" applyAlignment="1">
      <alignment horizontal="center" vertical="center" wrapText="1"/>
    </xf>
    <xf numFmtId="0" fontId="10" fillId="0" borderId="0" xfId="0" quotePrefix="1" applyFont="1" applyAlignment="1">
      <alignment horizontal="center"/>
    </xf>
    <xf numFmtId="0" fontId="10" fillId="0" borderId="0" xfId="0" quotePrefix="1" applyFont="1" applyAlignment="1">
      <alignment horizontal="center" vertical="center"/>
    </xf>
    <xf numFmtId="6" fontId="10" fillId="0" borderId="0" xfId="0" applyNumberFormat="1" applyFont="1" applyAlignment="1">
      <alignment horizontal="center" vertical="center"/>
    </xf>
    <xf numFmtId="0" fontId="9" fillId="0" borderId="0" xfId="0" applyFont="1" applyAlignment="1">
      <alignment horizontal="right"/>
    </xf>
    <xf numFmtId="0" fontId="9" fillId="0" borderId="1" xfId="0" applyFont="1" applyBorder="1" applyAlignment="1">
      <alignment horizontal="right"/>
    </xf>
    <xf numFmtId="166" fontId="9" fillId="0" borderId="0" xfId="0" applyNumberFormat="1" applyFont="1"/>
    <xf numFmtId="167" fontId="9" fillId="0" borderId="0" xfId="0" applyNumberFormat="1" applyFont="1" applyAlignment="1">
      <alignment horizontal="center"/>
    </xf>
    <xf numFmtId="0" fontId="9" fillId="0" borderId="0" xfId="0" applyFont="1" applyAlignment="1" applyProtection="1">
      <alignment horizontal="left"/>
      <protection locked="0"/>
    </xf>
    <xf numFmtId="0" fontId="9" fillId="0" borderId="0" xfId="0" applyFont="1" applyAlignment="1">
      <alignment horizontal="left"/>
    </xf>
    <xf numFmtId="166" fontId="9" fillId="0" borderId="1" xfId="0" applyNumberFormat="1" applyFont="1" applyBorder="1" applyAlignment="1">
      <alignment horizontal="right"/>
    </xf>
    <xf numFmtId="0" fontId="9" fillId="0" borderId="0" xfId="0" applyFont="1" applyAlignment="1" applyProtection="1">
      <alignment horizontal="left" wrapText="1"/>
      <protection locked="0"/>
    </xf>
    <xf numFmtId="166" fontId="9" fillId="5" borderId="1" xfId="0" applyNumberFormat="1" applyFont="1" applyFill="1" applyBorder="1" applyAlignment="1" applyProtection="1">
      <alignment horizontal="right"/>
      <protection locked="0"/>
    </xf>
    <xf numFmtId="166" fontId="9" fillId="0" borderId="17" xfId="0" applyNumberFormat="1" applyFont="1" applyBorder="1" applyAlignment="1">
      <alignment horizontal="right"/>
    </xf>
    <xf numFmtId="166" fontId="10" fillId="0" borderId="5" xfId="0" applyNumberFormat="1" applyFont="1" applyBorder="1" applyAlignment="1">
      <alignment horizontal="right"/>
    </xf>
    <xf numFmtId="166" fontId="9" fillId="0" borderId="5" xfId="0" applyNumberFormat="1" applyFont="1" applyBorder="1" applyAlignment="1">
      <alignment horizontal="right"/>
    </xf>
    <xf numFmtId="0" fontId="33" fillId="3" borderId="0" xfId="0" applyFont="1" applyFill="1"/>
    <xf numFmtId="1" fontId="9" fillId="3" borderId="0" xfId="1" applyNumberFormat="1" applyFont="1" applyFill="1"/>
    <xf numFmtId="1" fontId="10" fillId="3" borderId="0" xfId="1" applyNumberFormat="1" applyFont="1" applyFill="1" applyAlignment="1">
      <alignment horizontal="left"/>
    </xf>
    <xf numFmtId="1" fontId="9" fillId="3" borderId="0" xfId="1" applyNumberFormat="1" applyFont="1" applyFill="1" applyAlignment="1">
      <alignment vertical="center"/>
    </xf>
    <xf numFmtId="1" fontId="10" fillId="3" borderId="0" xfId="1" applyNumberFormat="1" applyFont="1" applyFill="1" applyAlignment="1">
      <alignment horizontal="left" vertical="center"/>
    </xf>
    <xf numFmtId="1" fontId="10" fillId="3" borderId="0" xfId="1" applyNumberFormat="1" applyFont="1" applyFill="1" applyAlignment="1">
      <alignment vertical="center"/>
    </xf>
    <xf numFmtId="6" fontId="10" fillId="3" borderId="0" xfId="0" quotePrefix="1" applyNumberFormat="1" applyFont="1" applyFill="1" applyAlignment="1">
      <alignment horizontal="center" vertical="center"/>
    </xf>
    <xf numFmtId="0" fontId="9" fillId="3" borderId="0" xfId="0" applyFont="1" applyFill="1" applyAlignment="1">
      <alignment horizontal="center" vertical="center"/>
    </xf>
    <xf numFmtId="1" fontId="33" fillId="3" borderId="0" xfId="1" applyNumberFormat="1" applyFont="1" applyFill="1" applyAlignment="1">
      <alignment horizontal="left" vertical="center"/>
    </xf>
    <xf numFmtId="1" fontId="9" fillId="3" borderId="0" xfId="1" applyNumberFormat="1" applyFont="1" applyFill="1" applyAlignment="1">
      <alignment horizontal="left" vertical="center"/>
    </xf>
    <xf numFmtId="165" fontId="9" fillId="3" borderId="0" xfId="1" applyFont="1" applyFill="1" applyAlignment="1">
      <alignment vertical="center"/>
    </xf>
    <xf numFmtId="3" fontId="9" fillId="0" borderId="6" xfId="0" applyNumberFormat="1" applyFont="1" applyBorder="1" applyAlignment="1">
      <alignment horizontal="right" vertical="center"/>
    </xf>
    <xf numFmtId="3" fontId="9" fillId="3" borderId="6" xfId="0" applyNumberFormat="1" applyFont="1" applyFill="1" applyBorder="1" applyAlignment="1">
      <alignment horizontal="right" vertical="center"/>
    </xf>
    <xf numFmtId="165" fontId="33" fillId="3" borderId="0" xfId="1" applyFont="1" applyFill="1" applyAlignment="1">
      <alignment vertical="center"/>
    </xf>
    <xf numFmtId="3"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3" fontId="9" fillId="0" borderId="0" xfId="0" applyNumberFormat="1" applyFont="1"/>
    <xf numFmtId="0" fontId="34" fillId="3" borderId="0" xfId="0" applyFont="1" applyFill="1"/>
    <xf numFmtId="0" fontId="7" fillId="3" borderId="4" xfId="0" quotePrefix="1" applyFont="1" applyFill="1" applyBorder="1" applyAlignment="1">
      <alignment horizontal="center"/>
    </xf>
    <xf numFmtId="0" fontId="34" fillId="3" borderId="7" xfId="0" applyFont="1" applyFill="1" applyBorder="1"/>
    <xf numFmtId="0" fontId="34" fillId="0" borderId="0" xfId="0" applyFont="1"/>
    <xf numFmtId="3" fontId="22" fillId="3" borderId="20" xfId="0" applyNumberFormat="1" applyFont="1" applyFill="1" applyBorder="1"/>
    <xf numFmtId="0" fontId="24" fillId="0" borderId="16" xfId="2" applyFont="1" applyBorder="1"/>
    <xf numFmtId="0" fontId="22" fillId="0" borderId="17" xfId="2" applyFont="1" applyBorder="1" applyProtection="1">
      <protection locked="0"/>
    </xf>
    <xf numFmtId="167" fontId="24" fillId="0" borderId="17" xfId="2" applyNumberFormat="1" applyFont="1" applyBorder="1" applyAlignment="1">
      <alignment horizontal="center"/>
    </xf>
    <xf numFmtId="167" fontId="24" fillId="0" borderId="19" xfId="2" applyNumberFormat="1" applyFont="1" applyBorder="1" applyAlignment="1">
      <alignment horizontal="center"/>
    </xf>
    <xf numFmtId="0" fontId="22" fillId="0" borderId="0" xfId="0" applyFont="1"/>
    <xf numFmtId="0" fontId="19" fillId="0" borderId="0" xfId="0" applyFont="1" applyAlignment="1">
      <alignment horizontal="left"/>
    </xf>
    <xf numFmtId="0" fontId="22" fillId="0" borderId="0" xfId="0" applyFont="1" applyAlignment="1">
      <alignment horizontal="center"/>
    </xf>
    <xf numFmtId="0" fontId="22"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wrapText="1"/>
    </xf>
    <xf numFmtId="0" fontId="24" fillId="0" borderId="0" xfId="0" applyFont="1"/>
    <xf numFmtId="0" fontId="24" fillId="0" borderId="0" xfId="0" quotePrefix="1" applyFont="1" applyAlignment="1">
      <alignment horizontal="center"/>
    </xf>
    <xf numFmtId="0" fontId="24" fillId="0" borderId="0" xfId="0" applyFont="1" applyAlignment="1">
      <alignment horizontal="center"/>
    </xf>
    <xf numFmtId="0" fontId="24" fillId="0" borderId="0" xfId="0" applyFont="1" applyAlignment="1">
      <alignment vertical="top"/>
    </xf>
    <xf numFmtId="0" fontId="24" fillId="0" borderId="0" xfId="0" applyFont="1" applyAlignment="1">
      <alignment wrapText="1"/>
    </xf>
    <xf numFmtId="0" fontId="22" fillId="0" borderId="0" xfId="0" applyFont="1" applyAlignment="1">
      <alignment wrapText="1"/>
    </xf>
    <xf numFmtId="166" fontId="22" fillId="0" borderId="1" xfId="0" applyNumberFormat="1" applyFont="1" applyBorder="1" applyAlignment="1">
      <alignment horizontal="center"/>
    </xf>
    <xf numFmtId="166" fontId="22" fillId="0" borderId="0" xfId="0" applyNumberFormat="1" applyFont="1" applyAlignment="1">
      <alignment horizontal="center"/>
    </xf>
    <xf numFmtId="167" fontId="23" fillId="0" borderId="0" xfId="0" applyNumberFormat="1" applyFont="1" applyAlignment="1">
      <alignment horizontal="center"/>
    </xf>
    <xf numFmtId="166" fontId="24" fillId="0" borderId="5" xfId="0" applyNumberFormat="1" applyFont="1" applyBorder="1" applyAlignment="1">
      <alignment horizontal="center"/>
    </xf>
    <xf numFmtId="0" fontId="22" fillId="0" borderId="0" xfId="0" applyFont="1" applyAlignment="1">
      <alignment vertical="center" wrapText="1"/>
    </xf>
    <xf numFmtId="166" fontId="22" fillId="5" borderId="1" xfId="0" applyNumberFormat="1" applyFont="1" applyFill="1" applyBorder="1" applyAlignment="1" applyProtection="1">
      <alignment horizontal="center"/>
      <protection locked="0"/>
    </xf>
    <xf numFmtId="0" fontId="35" fillId="0" borderId="0" xfId="0" applyFont="1"/>
    <xf numFmtId="4" fontId="24" fillId="0" borderId="5" xfId="0" applyNumberFormat="1" applyFont="1" applyBorder="1" applyAlignment="1">
      <alignment horizontal="center"/>
    </xf>
    <xf numFmtId="166" fontId="22" fillId="5" borderId="1" xfId="2" applyNumberFormat="1" applyFont="1" applyFill="1" applyBorder="1" applyAlignment="1">
      <alignment horizontal="center"/>
    </xf>
    <xf numFmtId="166" fontId="20" fillId="8" borderId="1" xfId="0" applyNumberFormat="1" applyFont="1" applyFill="1" applyBorder="1" applyAlignment="1">
      <alignment horizontal="right" vertical="center" wrapText="1"/>
    </xf>
    <xf numFmtId="169" fontId="21" fillId="5" borderId="1" xfId="0" applyNumberFormat="1" applyFont="1" applyFill="1" applyBorder="1" applyAlignment="1" applyProtection="1">
      <alignment vertical="top" wrapText="1"/>
      <protection locked="0"/>
    </xf>
    <xf numFmtId="0" fontId="9" fillId="3" borderId="0" xfId="0" applyFont="1" applyFill="1" applyProtection="1">
      <protection locked="0"/>
    </xf>
    <xf numFmtId="0" fontId="40" fillId="0" borderId="0" xfId="0" applyFont="1" applyAlignment="1">
      <alignment vertical="center" wrapText="1"/>
    </xf>
    <xf numFmtId="166" fontId="38" fillId="0" borderId="17" xfId="2" applyNumberFormat="1" applyFont="1" applyBorder="1" applyAlignment="1">
      <alignment horizontal="left"/>
    </xf>
    <xf numFmtId="0" fontId="41" fillId="3" borderId="0" xfId="0" applyFont="1" applyFill="1" applyAlignment="1">
      <alignment horizontal="left"/>
    </xf>
    <xf numFmtId="0" fontId="41" fillId="0" borderId="0" xfId="0" applyFont="1" applyAlignment="1">
      <alignment horizontal="left"/>
    </xf>
    <xf numFmtId="3" fontId="41" fillId="3" borderId="0" xfId="0" applyNumberFormat="1" applyFont="1" applyFill="1" applyAlignment="1">
      <alignment horizontal="left"/>
    </xf>
    <xf numFmtId="0" fontId="8" fillId="0" borderId="0" xfId="0" applyFont="1"/>
    <xf numFmtId="0" fontId="7" fillId="0" borderId="0" xfId="0" applyFont="1"/>
    <xf numFmtId="0" fontId="13" fillId="0" borderId="0" xfId="0" applyFont="1"/>
    <xf numFmtId="3" fontId="8" fillId="0" borderId="1" xfId="0" applyNumberFormat="1" applyFont="1" applyBorder="1"/>
    <xf numFmtId="0" fontId="7" fillId="9" borderId="1" xfId="0" applyFont="1" applyFill="1" applyBorder="1"/>
    <xf numFmtId="0" fontId="7" fillId="9" borderId="4" xfId="0" applyFont="1" applyFill="1" applyBorder="1"/>
    <xf numFmtId="3" fontId="8" fillId="0" borderId="21" xfId="0" applyNumberFormat="1" applyFont="1" applyBorder="1"/>
    <xf numFmtId="1" fontId="42" fillId="3" borderId="0" xfId="1" applyNumberFormat="1" applyFont="1" applyFill="1" applyAlignment="1">
      <alignment horizontal="left"/>
    </xf>
    <xf numFmtId="0" fontId="11" fillId="3" borderId="0" xfId="0" applyFont="1" applyFill="1"/>
    <xf numFmtId="0" fontId="43" fillId="3" borderId="0" xfId="0" applyFont="1" applyFill="1" applyAlignment="1">
      <alignment horizontal="center" vertical="center" wrapText="1"/>
    </xf>
    <xf numFmtId="0" fontId="22" fillId="3" borderId="0" xfId="0" applyFont="1" applyFill="1" applyAlignment="1">
      <alignment horizontal="center"/>
    </xf>
    <xf numFmtId="0" fontId="24" fillId="3" borderId="0" xfId="0" applyFont="1" applyFill="1"/>
    <xf numFmtId="0" fontId="42" fillId="3" borderId="0" xfId="0" applyFont="1" applyFill="1" applyAlignment="1">
      <alignment horizontal="center" vertical="center"/>
    </xf>
    <xf numFmtId="0" fontId="22" fillId="3" borderId="0" xfId="0" applyFont="1" applyFill="1"/>
    <xf numFmtId="165" fontId="22" fillId="3" borderId="0" xfId="1" applyFont="1" applyFill="1" applyAlignment="1">
      <alignment horizontal="center"/>
    </xf>
    <xf numFmtId="0" fontId="22" fillId="3" borderId="0" xfId="0" applyFont="1" applyFill="1" applyAlignment="1">
      <alignment horizontal="left" wrapText="1"/>
    </xf>
    <xf numFmtId="166" fontId="22" fillId="0" borderId="6" xfId="0" applyNumberFormat="1" applyFont="1" applyBorder="1" applyAlignment="1">
      <alignment horizontal="right" vertical="center"/>
    </xf>
    <xf numFmtId="0" fontId="22" fillId="0" borderId="6" xfId="0" applyFont="1" applyBorder="1" applyAlignment="1">
      <alignment horizontal="right" vertical="center"/>
    </xf>
    <xf numFmtId="0" fontId="22" fillId="0" borderId="0" xfId="0" applyFont="1" applyAlignment="1">
      <alignment horizontal="right" vertical="center"/>
    </xf>
    <xf numFmtId="6" fontId="24" fillId="3" borderId="0" xfId="0" quotePrefix="1" applyNumberFormat="1" applyFont="1" applyFill="1" applyAlignment="1">
      <alignment horizontal="center" vertical="center"/>
    </xf>
    <xf numFmtId="166" fontId="22" fillId="5" borderId="1" xfId="2" applyNumberFormat="1" applyFont="1" applyFill="1" applyBorder="1" applyAlignment="1" applyProtection="1">
      <alignment horizontal="right"/>
      <protection locked="0"/>
    </xf>
    <xf numFmtId="3" fontId="11" fillId="3" borderId="22" xfId="0" applyNumberFormat="1" applyFont="1" applyFill="1" applyBorder="1"/>
    <xf numFmtId="3" fontId="11" fillId="3" borderId="0" xfId="0" applyNumberFormat="1" applyFont="1" applyFill="1"/>
    <xf numFmtId="165" fontId="11" fillId="3" borderId="0" xfId="1" applyFont="1" applyFill="1" applyAlignment="1">
      <alignment horizontal="center" vertical="center"/>
    </xf>
    <xf numFmtId="1" fontId="11" fillId="3" borderId="0" xfId="1" applyNumberFormat="1" applyFont="1" applyFill="1" applyAlignment="1">
      <alignment horizontal="left" vertical="center" wrapText="1"/>
    </xf>
    <xf numFmtId="49" fontId="7" fillId="0" borderId="0" xfId="0" applyNumberFormat="1" applyFont="1" applyAlignment="1" applyProtection="1">
      <alignment vertical="center" wrapText="1"/>
      <protection locked="0"/>
    </xf>
    <xf numFmtId="0" fontId="0" fillId="3" borderId="0" xfId="0" applyFill="1" applyAlignment="1">
      <alignment horizontal="center"/>
    </xf>
    <xf numFmtId="0" fontId="11" fillId="3" borderId="7" xfId="0" applyFont="1" applyFill="1" applyBorder="1"/>
    <xf numFmtId="0" fontId="0" fillId="3" borderId="7" xfId="0" applyFill="1" applyBorder="1"/>
    <xf numFmtId="0" fontId="9" fillId="3" borderId="25" xfId="0" applyFont="1" applyFill="1" applyBorder="1"/>
    <xf numFmtId="0" fontId="9" fillId="3" borderId="7" xfId="0" applyFont="1" applyFill="1" applyBorder="1"/>
    <xf numFmtId="164" fontId="9" fillId="3" borderId="2" xfId="0" applyNumberFormat="1" applyFont="1" applyFill="1" applyBorder="1" applyAlignment="1">
      <alignment horizontal="center" vertical="center"/>
    </xf>
    <xf numFmtId="0" fontId="21" fillId="5" borderId="1" xfId="0" quotePrefix="1" applyFont="1" applyFill="1" applyBorder="1" applyAlignment="1" applyProtection="1">
      <alignment wrapText="1"/>
      <protection locked="0"/>
    </xf>
    <xf numFmtId="0" fontId="44" fillId="5" borderId="1" xfId="24" applyFill="1" applyBorder="1" applyAlignment="1" applyProtection="1">
      <alignment wrapText="1"/>
      <protection locked="0"/>
    </xf>
    <xf numFmtId="0" fontId="18" fillId="2" borderId="9" xfId="0" applyFont="1" applyFill="1" applyBorder="1" applyAlignment="1">
      <alignment horizontal="left" vertical="center" wrapText="1"/>
    </xf>
    <xf numFmtId="0" fontId="18" fillId="0" borderId="8" xfId="0" applyFont="1" applyBorder="1" applyAlignment="1">
      <alignment horizontal="left" vertical="center" wrapText="1"/>
    </xf>
    <xf numFmtId="0" fontId="18" fillId="0" borderId="10" xfId="0" applyFont="1" applyBorder="1" applyAlignment="1">
      <alignment horizontal="left" vertical="center" wrapText="1"/>
    </xf>
    <xf numFmtId="0" fontId="22" fillId="0" borderId="0" xfId="2" applyFont="1" applyAlignment="1">
      <alignment horizontal="left" vertical="center" wrapText="1"/>
    </xf>
    <xf numFmtId="0" fontId="24" fillId="0" borderId="0" xfId="2" applyFont="1" applyAlignment="1">
      <alignment horizontal="left" vertical="center" wrapText="1"/>
    </xf>
    <xf numFmtId="1" fontId="42" fillId="3" borderId="0" xfId="1" applyNumberFormat="1" applyFont="1" applyFill="1" applyAlignment="1">
      <alignment horizontal="left" vertical="center" wrapText="1"/>
    </xf>
    <xf numFmtId="49" fontId="7" fillId="0" borderId="23" xfId="0" applyNumberFormat="1" applyFont="1" applyBorder="1" applyAlignment="1" applyProtection="1">
      <alignment wrapText="1"/>
      <protection locked="0"/>
    </xf>
    <xf numFmtId="49" fontId="7" fillId="0" borderId="24" xfId="0" applyNumberFormat="1" applyFont="1" applyBorder="1" applyAlignment="1" applyProtection="1">
      <alignment wrapText="1"/>
      <protection locked="0"/>
    </xf>
    <xf numFmtId="49" fontId="7" fillId="5" borderId="23" xfId="0" applyNumberFormat="1" applyFont="1" applyFill="1" applyBorder="1" applyAlignment="1" applyProtection="1">
      <alignment vertical="top" wrapText="1"/>
      <protection locked="0"/>
    </xf>
    <xf numFmtId="49" fontId="7" fillId="5" borderId="24" xfId="0" applyNumberFormat="1" applyFont="1" applyFill="1" applyBorder="1" applyAlignment="1" applyProtection="1">
      <alignment vertical="top" wrapText="1"/>
      <protection locked="0"/>
    </xf>
    <xf numFmtId="0" fontId="19" fillId="0" borderId="0" xfId="0" applyFont="1" applyAlignment="1">
      <alignment horizontal="left" wrapText="1"/>
    </xf>
    <xf numFmtId="0" fontId="19" fillId="0" borderId="0" xfId="0" applyFont="1" applyAlignment="1">
      <alignment horizontal="left" vertical="center" wrapText="1"/>
    </xf>
    <xf numFmtId="0" fontId="9" fillId="3" borderId="0" xfId="0" applyFont="1" applyFill="1" applyAlignment="1">
      <alignment vertical="top" wrapText="1"/>
    </xf>
    <xf numFmtId="0" fontId="9" fillId="3" borderId="0" xfId="0" applyFont="1" applyFill="1" applyAlignment="1">
      <alignment vertical="top"/>
    </xf>
    <xf numFmtId="6" fontId="10" fillId="3" borderId="0" xfId="0" applyNumberFormat="1" applyFont="1" applyFill="1" applyAlignment="1" applyProtection="1">
      <alignment horizontal="center"/>
      <protection locked="0"/>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xf numFmtId="166" fontId="10" fillId="3" borderId="25" xfId="0" applyNumberFormat="1" applyFont="1" applyFill="1" applyBorder="1" applyAlignment="1">
      <alignment horizontal="center"/>
    </xf>
    <xf numFmtId="166" fontId="10" fillId="3" borderId="12" xfId="0" applyNumberFormat="1" applyFont="1" applyFill="1" applyBorder="1" applyAlignment="1">
      <alignment horizontal="center"/>
    </xf>
    <xf numFmtId="49" fontId="21" fillId="4" borderId="1" xfId="0" applyNumberFormat="1" applyFont="1" applyFill="1" applyBorder="1" applyAlignment="1" applyProtection="1">
      <alignment wrapText="1"/>
      <protection locked="0"/>
    </xf>
  </cellXfs>
  <cellStyles count="25">
    <cellStyle name="Comma" xfId="5" builtinId="3"/>
    <cellStyle name="Comma 2" xfId="3" xr:uid="{00000000-0005-0000-0000-000001000000}"/>
    <cellStyle name="Comma 3" xfId="6" xr:uid="{00000000-0005-0000-0000-000002000000}"/>
    <cellStyle name="Comma 4" xfId="7" xr:uid="{00000000-0005-0000-0000-000003000000}"/>
    <cellStyle name="Hyperlink" xfId="24" builtinId="8"/>
    <cellStyle name="Normal" xfId="0" builtinId="0"/>
    <cellStyle name="Normal 10" xfId="8" xr:uid="{00000000-0005-0000-0000-000005000000}"/>
    <cellStyle name="Normal 11 2 2" xfId="9" xr:uid="{00000000-0005-0000-0000-000006000000}"/>
    <cellStyle name="Normal 2" xfId="2" xr:uid="{00000000-0005-0000-0000-000007000000}"/>
    <cellStyle name="Normal 2 2" xfId="10" xr:uid="{00000000-0005-0000-0000-000008000000}"/>
    <cellStyle name="Normal 3" xfId="11" xr:uid="{00000000-0005-0000-0000-000009000000}"/>
    <cellStyle name="Normal 4" xfId="12" xr:uid="{00000000-0005-0000-0000-00000A000000}"/>
    <cellStyle name="Normal 5" xfId="13" xr:uid="{00000000-0005-0000-0000-00000B000000}"/>
    <cellStyle name="Normal 6" xfId="14" xr:uid="{00000000-0005-0000-0000-00000C000000}"/>
    <cellStyle name="Normal 7" xfId="15" xr:uid="{00000000-0005-0000-0000-00000D000000}"/>
    <cellStyle name="Normal 8" xfId="16" xr:uid="{00000000-0005-0000-0000-00000E000000}"/>
    <cellStyle name="Normal 9" xfId="17" xr:uid="{00000000-0005-0000-0000-00000F000000}"/>
    <cellStyle name="Normal_Final FFR2001 16.5.01" xfId="1" xr:uid="{00000000-0005-0000-0000-000010000000}"/>
    <cellStyle name="Percent 2" xfId="4" xr:uid="{00000000-0005-0000-0000-000011000000}"/>
    <cellStyle name="Percent 3" xfId="18" xr:uid="{00000000-0005-0000-0000-000012000000}"/>
    <cellStyle name="Percent 4" xfId="19" xr:uid="{00000000-0005-0000-0000-000013000000}"/>
    <cellStyle name="Percent 5" xfId="20" xr:uid="{00000000-0005-0000-0000-000014000000}"/>
    <cellStyle name="Percent 6" xfId="21" xr:uid="{00000000-0005-0000-0000-000015000000}"/>
    <cellStyle name="Percent 7" xfId="22" xr:uid="{00000000-0005-0000-0000-000016000000}"/>
    <cellStyle name="Percent 8" xfId="23" xr:uid="{00000000-0005-0000-0000-000017000000}"/>
  </cellStyles>
  <dxfs count="13">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aine.mckechnie@slc.ac.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workbookViewId="0">
      <selection activeCell="B16" sqref="B16"/>
    </sheetView>
  </sheetViews>
  <sheetFormatPr defaultColWidth="9.42578125" defaultRowHeight="16.5" x14ac:dyDescent="0.25"/>
  <cols>
    <col min="1" max="1" width="9.42578125" style="36"/>
    <col min="2" max="2" width="16.5703125" style="36" customWidth="1"/>
    <col min="3" max="3" width="58.5703125" style="36" customWidth="1"/>
    <col min="4" max="16384" width="9.42578125" style="36"/>
  </cols>
  <sheetData>
    <row r="1" spans="2:13" ht="17.25" x14ac:dyDescent="0.3">
      <c r="B1" s="34" t="s">
        <v>0</v>
      </c>
      <c r="C1" s="35"/>
    </row>
    <row r="2" spans="2:13" ht="17.25" x14ac:dyDescent="0.3">
      <c r="B2" s="37"/>
      <c r="C2" s="35"/>
    </row>
    <row r="3" spans="2:13" ht="17.25" x14ac:dyDescent="0.3">
      <c r="B3" s="37" t="s">
        <v>1</v>
      </c>
      <c r="C3" s="75" t="s">
        <v>358</v>
      </c>
    </row>
    <row r="4" spans="2:13" ht="17.25" x14ac:dyDescent="0.3">
      <c r="B4" s="37"/>
      <c r="C4" s="35"/>
    </row>
    <row r="5" spans="2:13" ht="17.25" x14ac:dyDescent="0.3">
      <c r="B5" s="37" t="s">
        <v>2</v>
      </c>
      <c r="C5" s="75" t="s">
        <v>373</v>
      </c>
    </row>
    <row r="6" spans="2:13" ht="17.25" x14ac:dyDescent="0.3">
      <c r="B6" s="37"/>
      <c r="C6" s="37"/>
    </row>
    <row r="7" spans="2:13" ht="17.25" x14ac:dyDescent="0.3">
      <c r="B7" s="37" t="s">
        <v>3</v>
      </c>
      <c r="C7" s="334" t="s">
        <v>374</v>
      </c>
    </row>
    <row r="8" spans="2:13" ht="17.25" x14ac:dyDescent="0.3">
      <c r="B8" s="37"/>
      <c r="C8" s="37"/>
    </row>
    <row r="9" spans="2:13" ht="17.25" x14ac:dyDescent="0.3">
      <c r="B9" s="37" t="s">
        <v>4</v>
      </c>
      <c r="C9" s="335" t="s">
        <v>375</v>
      </c>
    </row>
    <row r="10" spans="2:13" ht="17.25" x14ac:dyDescent="0.3">
      <c r="B10" s="37"/>
      <c r="C10" s="35"/>
    </row>
    <row r="11" spans="2:13" ht="17.25" x14ac:dyDescent="0.3">
      <c r="B11" s="37"/>
    </row>
    <row r="12" spans="2:13" ht="17.25" x14ac:dyDescent="0.3">
      <c r="B12" s="37"/>
    </row>
    <row r="13" spans="2:13" ht="82.35" customHeight="1" x14ac:dyDescent="0.25">
      <c r="B13" s="38" t="s">
        <v>5</v>
      </c>
      <c r="C13" s="336" t="s">
        <v>6</v>
      </c>
      <c r="D13" s="337"/>
      <c r="E13" s="337"/>
      <c r="F13" s="337"/>
      <c r="G13" s="338"/>
      <c r="H13" s="39"/>
      <c r="I13" s="39"/>
      <c r="J13" s="39"/>
      <c r="K13" s="39"/>
      <c r="L13" s="39"/>
      <c r="M13" s="39"/>
    </row>
    <row r="14" spans="2:13" ht="12.75" customHeight="1" x14ac:dyDescent="0.3">
      <c r="B14" s="37"/>
    </row>
    <row r="15" spans="2:13" ht="17.25" x14ac:dyDescent="0.3">
      <c r="B15" s="37"/>
    </row>
    <row r="16" spans="2:13" ht="17.25" x14ac:dyDescent="0.3">
      <c r="B16" s="37"/>
    </row>
    <row r="17" spans="2:3" ht="17.25" x14ac:dyDescent="0.3">
      <c r="B17" s="37"/>
    </row>
    <row r="18" spans="2:3" ht="47.25" customHeight="1" x14ac:dyDescent="0.3">
      <c r="B18" s="34" t="s">
        <v>7</v>
      </c>
      <c r="C18" s="357" t="e" vm="1">
        <v>#VALUE!</v>
      </c>
    </row>
    <row r="19" spans="2:3" ht="17.25" x14ac:dyDescent="0.3">
      <c r="B19" s="37"/>
      <c r="C19" s="37" t="s">
        <v>8</v>
      </c>
    </row>
    <row r="20" spans="2:3" ht="17.25" x14ac:dyDescent="0.3">
      <c r="B20" s="37"/>
      <c r="C20" s="35"/>
    </row>
    <row r="21" spans="2:3" ht="17.25" x14ac:dyDescent="0.3">
      <c r="B21" s="34" t="s">
        <v>9</v>
      </c>
      <c r="C21" s="295">
        <v>45756</v>
      </c>
    </row>
  </sheetData>
  <mergeCells count="1">
    <mergeCell ref="C13:G13"/>
  </mergeCells>
  <phoneticPr fontId="4" type="noConversion"/>
  <hyperlinks>
    <hyperlink ref="C9" r:id="rId1" xr:uid="{D82BAB80-D8E4-46B3-A2A9-4D36E8A58494}"/>
  </hyperlinks>
  <pageMargins left="2.25" right="0.74803149606299213" top="1.1599999999999999" bottom="0.98425196850393704" header="0.51181102362204722" footer="0.51181102362204722"/>
  <pageSetup paperSize="9" scale="64"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61"/>
  <sheetViews>
    <sheetView topLeftCell="A32" zoomScale="120" zoomScaleNormal="120" workbookViewId="0">
      <selection activeCell="C44" sqref="C44"/>
    </sheetView>
  </sheetViews>
  <sheetFormatPr defaultColWidth="9.42578125" defaultRowHeight="15" x14ac:dyDescent="0.25"/>
  <cols>
    <col min="1" max="1" width="9.42578125" style="17"/>
    <col min="2" max="2" width="58.5703125" style="17" customWidth="1"/>
    <col min="3" max="4" width="9.42578125" style="17" customWidth="1"/>
    <col min="5" max="5" width="3.42578125" style="17" customWidth="1"/>
    <col min="6" max="7" width="8.5703125" style="17" customWidth="1"/>
    <col min="8" max="8" width="9.42578125" style="17"/>
    <col min="9" max="9" width="33.5703125" style="17" customWidth="1"/>
    <col min="10" max="16384" width="9.42578125" style="17"/>
  </cols>
  <sheetData>
    <row r="1" spans="1:9" x14ac:dyDescent="0.25">
      <c r="A1" s="246"/>
      <c r="B1" s="247" t="str">
        <f>Declaration!C3</f>
        <v>South Lanarkshire College</v>
      </c>
    </row>
    <row r="2" spans="1:9" ht="32.25" customHeight="1" x14ac:dyDescent="0.25">
      <c r="A2" s="248"/>
      <c r="B2" s="249" t="s">
        <v>309</v>
      </c>
      <c r="C2" s="55" t="str">
        <f>SOCIE!D3</f>
        <v>FFR     2024-25</v>
      </c>
      <c r="D2" s="55" t="str">
        <f>SOCIE!E3</f>
        <v>MYR    2024-25</v>
      </c>
      <c r="F2" s="55" t="str">
        <f>SOCIE!G3</f>
        <v>Variance</v>
      </c>
      <c r="G2" s="55" t="str">
        <f>SOCIE!H3</f>
        <v>Variance</v>
      </c>
    </row>
    <row r="3" spans="1:9" x14ac:dyDescent="0.25">
      <c r="A3" s="250"/>
      <c r="B3" s="249"/>
      <c r="C3" s="251" t="s">
        <v>15</v>
      </c>
      <c r="D3" s="251" t="s">
        <v>15</v>
      </c>
      <c r="F3" s="195" t="str">
        <f>+SOCIE!G4</f>
        <v>%</v>
      </c>
      <c r="G3" s="195" t="str">
        <f>+SOCIE!H4</f>
        <v>£</v>
      </c>
      <c r="I3" s="227" t="s">
        <v>14</v>
      </c>
    </row>
    <row r="4" spans="1:9" x14ac:dyDescent="0.25">
      <c r="A4" s="250"/>
      <c r="B4" s="249"/>
      <c r="C4" s="252"/>
      <c r="D4" s="252"/>
    </row>
    <row r="5" spans="1:9" x14ac:dyDescent="0.25">
      <c r="A5" s="250"/>
      <c r="B5" s="253" t="s">
        <v>310</v>
      </c>
      <c r="C5" s="252"/>
      <c r="D5" s="252"/>
    </row>
    <row r="6" spans="1:9" x14ac:dyDescent="0.25">
      <c r="A6" s="248"/>
      <c r="B6" s="254" t="s">
        <v>311</v>
      </c>
      <c r="C6" s="239">
        <v>133</v>
      </c>
      <c r="D6" s="241">
        <v>227</v>
      </c>
      <c r="F6" s="197">
        <f>IF(C6=0,"",(D6-C6)/C6)</f>
        <v>0.70676691729323304</v>
      </c>
      <c r="G6" s="17">
        <f>+D6-C6</f>
        <v>94</v>
      </c>
      <c r="I6" s="296"/>
    </row>
    <row r="7" spans="1:9" x14ac:dyDescent="0.25">
      <c r="A7" s="255"/>
      <c r="B7" s="255" t="s">
        <v>312</v>
      </c>
      <c r="C7" s="239">
        <v>763</v>
      </c>
      <c r="D7" s="241">
        <v>411</v>
      </c>
      <c r="F7" s="197">
        <f>IF(C7=0,"",(D7-C7)/C7)</f>
        <v>-0.46133682830930539</v>
      </c>
      <c r="G7" s="17">
        <f t="shared" ref="G7:G18" si="0">+D7-C7</f>
        <v>-352</v>
      </c>
      <c r="I7" s="296"/>
    </row>
    <row r="8" spans="1:9" ht="15.75" thickBot="1" x14ac:dyDescent="0.3">
      <c r="A8" s="255"/>
      <c r="B8" s="255"/>
      <c r="C8" s="256">
        <f>SUM(C6:C7)</f>
        <v>896</v>
      </c>
      <c r="D8" s="257">
        <f>SUM(D6:D7)</f>
        <v>638</v>
      </c>
      <c r="F8" s="197">
        <f>IF(C8=0,"",(D8-C8)/C8)</f>
        <v>-0.28794642857142855</v>
      </c>
      <c r="G8" s="17">
        <f t="shared" si="0"/>
        <v>-258</v>
      </c>
      <c r="I8" s="296"/>
    </row>
    <row r="9" spans="1:9" ht="15.75" thickTop="1" x14ac:dyDescent="0.25">
      <c r="A9" s="255"/>
      <c r="B9" s="258" t="s">
        <v>313</v>
      </c>
      <c r="C9" s="259"/>
      <c r="D9" s="260"/>
      <c r="F9" s="197"/>
      <c r="I9" s="296"/>
    </row>
    <row r="10" spans="1:9" x14ac:dyDescent="0.25">
      <c r="A10" s="255"/>
      <c r="B10" s="254" t="s">
        <v>314</v>
      </c>
      <c r="C10" s="239">
        <v>0</v>
      </c>
      <c r="D10" s="241">
        <v>0</v>
      </c>
      <c r="F10" s="197" t="str">
        <f t="shared" ref="F10:F18" si="1">IF(C10=0,"",(D10-C10)/C10)</f>
        <v/>
      </c>
      <c r="G10" s="17">
        <f t="shared" si="0"/>
        <v>0</v>
      </c>
      <c r="I10" s="296"/>
    </row>
    <row r="11" spans="1:9" x14ac:dyDescent="0.25">
      <c r="A11" s="255"/>
      <c r="B11" s="254" t="s">
        <v>315</v>
      </c>
      <c r="C11" s="239">
        <v>26</v>
      </c>
      <c r="D11" s="241">
        <v>0</v>
      </c>
      <c r="F11" s="197">
        <f t="shared" si="1"/>
        <v>-1</v>
      </c>
      <c r="G11" s="17">
        <f t="shared" si="0"/>
        <v>-26</v>
      </c>
      <c r="I11" s="296"/>
    </row>
    <row r="12" spans="1:9" x14ac:dyDescent="0.25">
      <c r="A12" s="255"/>
      <c r="B12" s="254" t="s">
        <v>316</v>
      </c>
      <c r="C12" s="239">
        <v>0</v>
      </c>
      <c r="D12" s="241">
        <v>0</v>
      </c>
      <c r="F12" s="197" t="str">
        <f t="shared" si="1"/>
        <v/>
      </c>
      <c r="G12" s="17">
        <f t="shared" si="0"/>
        <v>0</v>
      </c>
      <c r="I12" s="296"/>
    </row>
    <row r="13" spans="1:9" x14ac:dyDescent="0.25">
      <c r="A13" s="255"/>
      <c r="B13" s="254" t="s">
        <v>317</v>
      </c>
      <c r="C13" s="239">
        <v>870</v>
      </c>
      <c r="D13" s="241">
        <v>638</v>
      </c>
      <c r="F13" s="197">
        <f t="shared" si="1"/>
        <v>-0.26666666666666666</v>
      </c>
      <c r="G13" s="17">
        <f t="shared" si="0"/>
        <v>-232</v>
      </c>
      <c r="I13" s="296"/>
    </row>
    <row r="14" spans="1:9" x14ac:dyDescent="0.25">
      <c r="A14" s="255"/>
      <c r="B14" s="254" t="s">
        <v>318</v>
      </c>
      <c r="C14" s="239">
        <v>0</v>
      </c>
      <c r="D14" s="241">
        <v>0</v>
      </c>
      <c r="F14" s="197" t="str">
        <f t="shared" si="1"/>
        <v/>
      </c>
      <c r="G14" s="17">
        <f t="shared" si="0"/>
        <v>0</v>
      </c>
      <c r="I14" s="296"/>
    </row>
    <row r="15" spans="1:9" x14ac:dyDescent="0.25">
      <c r="A15" s="255"/>
      <c r="B15" s="254" t="s">
        <v>319</v>
      </c>
      <c r="C15" s="239">
        <v>0</v>
      </c>
      <c r="D15" s="241">
        <v>0</v>
      </c>
      <c r="F15" s="197" t="str">
        <f t="shared" si="1"/>
        <v/>
      </c>
      <c r="G15" s="17">
        <f t="shared" si="0"/>
        <v>0</v>
      </c>
      <c r="I15" s="296"/>
    </row>
    <row r="16" spans="1:9" x14ac:dyDescent="0.25">
      <c r="A16" s="255"/>
      <c r="B16" s="254" t="s">
        <v>320</v>
      </c>
      <c r="C16" s="239">
        <v>0</v>
      </c>
      <c r="D16" s="241">
        <v>0</v>
      </c>
      <c r="F16" s="197" t="str">
        <f t="shared" si="1"/>
        <v/>
      </c>
      <c r="G16" s="17">
        <f t="shared" si="0"/>
        <v>0</v>
      </c>
      <c r="I16" s="296"/>
    </row>
    <row r="17" spans="1:9" x14ac:dyDescent="0.25">
      <c r="A17" s="255"/>
      <c r="B17" s="254" t="s">
        <v>321</v>
      </c>
      <c r="C17" s="239">
        <v>0</v>
      </c>
      <c r="D17" s="241">
        <v>0</v>
      </c>
      <c r="F17" s="197" t="str">
        <f t="shared" si="1"/>
        <v/>
      </c>
      <c r="G17" s="17">
        <f t="shared" si="0"/>
        <v>0</v>
      </c>
      <c r="I17" s="296"/>
    </row>
    <row r="18" spans="1:9" ht="15.75" thickBot="1" x14ac:dyDescent="0.3">
      <c r="A18" s="255"/>
      <c r="B18" s="255"/>
      <c r="C18" s="256">
        <f>SUM(C10:C17)</f>
        <v>896</v>
      </c>
      <c r="D18" s="257">
        <f>SUM(D10:D17)</f>
        <v>638</v>
      </c>
      <c r="F18" s="197">
        <f t="shared" si="1"/>
        <v>-0.28794642857142855</v>
      </c>
      <c r="G18" s="17">
        <f t="shared" si="0"/>
        <v>-258</v>
      </c>
      <c r="I18" s="296"/>
    </row>
    <row r="19" spans="1:9" ht="15.75" thickTop="1" x14ac:dyDescent="0.25">
      <c r="A19" s="255"/>
      <c r="B19" s="255"/>
      <c r="C19" s="261"/>
      <c r="D19" s="301" t="str">
        <f>IF(D18=D8,"","Financed by total does not match the expenditure total")</f>
        <v/>
      </c>
      <c r="F19" s="197"/>
    </row>
    <row r="21" spans="1:9" x14ac:dyDescent="0.25">
      <c r="B21" s="17" t="s">
        <v>322</v>
      </c>
    </row>
    <row r="23" spans="1:9" ht="30" x14ac:dyDescent="0.25">
      <c r="C23" s="55" t="str">
        <f t="shared" ref="C23:D24" si="2">C2</f>
        <v>FFR     2024-25</v>
      </c>
      <c r="D23" s="229" t="str">
        <f t="shared" si="2"/>
        <v>MYR    2024-25</v>
      </c>
    </row>
    <row r="24" spans="1:9" x14ac:dyDescent="0.25">
      <c r="C24" s="251" t="str">
        <f t="shared" si="2"/>
        <v>£000</v>
      </c>
      <c r="D24" s="251" t="str">
        <f t="shared" si="2"/>
        <v>£000</v>
      </c>
    </row>
    <row r="25" spans="1:9" x14ac:dyDescent="0.25">
      <c r="B25" s="192" t="s">
        <v>323</v>
      </c>
    </row>
    <row r="27" spans="1:9" x14ac:dyDescent="0.25">
      <c r="B27" s="245" t="s">
        <v>324</v>
      </c>
      <c r="C27" s="225"/>
    </row>
    <row r="28" spans="1:9" x14ac:dyDescent="0.25">
      <c r="B28" s="17" t="s">
        <v>325</v>
      </c>
      <c r="C28" s="239">
        <v>0</v>
      </c>
      <c r="D28" s="241">
        <v>0</v>
      </c>
      <c r="I28" s="296"/>
    </row>
    <row r="29" spans="1:9" x14ac:dyDescent="0.25">
      <c r="B29" s="17" t="s">
        <v>325</v>
      </c>
      <c r="C29" s="239">
        <v>0</v>
      </c>
      <c r="D29" s="241">
        <v>0</v>
      </c>
      <c r="I29" s="296"/>
    </row>
    <row r="30" spans="1:9" x14ac:dyDescent="0.25">
      <c r="B30" s="17" t="s">
        <v>325</v>
      </c>
      <c r="C30" s="239">
        <v>0</v>
      </c>
      <c r="D30" s="241">
        <v>0</v>
      </c>
      <c r="I30" s="296"/>
    </row>
    <row r="31" spans="1:9" x14ac:dyDescent="0.25">
      <c r="B31" s="17" t="s">
        <v>325</v>
      </c>
      <c r="C31" s="239">
        <v>0</v>
      </c>
      <c r="D31" s="241">
        <v>0</v>
      </c>
      <c r="I31" s="296"/>
    </row>
    <row r="32" spans="1:9" ht="15.75" thickBot="1" x14ac:dyDescent="0.3">
      <c r="C32" s="256">
        <f t="shared" ref="C32:D32" si="3">SUM(C28:C31)</f>
        <v>0</v>
      </c>
      <c r="D32" s="257">
        <f t="shared" si="3"/>
        <v>0</v>
      </c>
      <c r="I32" s="296"/>
    </row>
    <row r="33" spans="2:9" ht="15.75" thickTop="1" x14ac:dyDescent="0.25">
      <c r="C33" s="225"/>
      <c r="I33" s="296"/>
    </row>
    <row r="34" spans="2:9" x14ac:dyDescent="0.25">
      <c r="B34" s="245" t="s">
        <v>326</v>
      </c>
      <c r="I34" s="296"/>
    </row>
    <row r="35" spans="2:9" x14ac:dyDescent="0.25">
      <c r="B35" s="17" t="s">
        <v>325</v>
      </c>
      <c r="C35" s="239">
        <v>0</v>
      </c>
      <c r="D35" s="241">
        <v>0</v>
      </c>
      <c r="I35" s="296"/>
    </row>
    <row r="36" spans="2:9" x14ac:dyDescent="0.25">
      <c r="B36" s="17" t="s">
        <v>325</v>
      </c>
      <c r="C36" s="239">
        <v>0</v>
      </c>
      <c r="D36" s="241">
        <v>0</v>
      </c>
      <c r="I36" s="296"/>
    </row>
    <row r="37" spans="2:9" x14ac:dyDescent="0.25">
      <c r="B37" s="17" t="s">
        <v>325</v>
      </c>
      <c r="C37" s="239">
        <v>0</v>
      </c>
      <c r="D37" s="241">
        <v>0</v>
      </c>
      <c r="I37" s="296"/>
    </row>
    <row r="38" spans="2:9" x14ac:dyDescent="0.25">
      <c r="B38" s="17" t="s">
        <v>325</v>
      </c>
      <c r="C38" s="239">
        <v>0</v>
      </c>
      <c r="D38" s="241">
        <v>0</v>
      </c>
      <c r="I38" s="296"/>
    </row>
    <row r="39" spans="2:9" ht="15.75" thickBot="1" x14ac:dyDescent="0.3">
      <c r="C39" s="256">
        <f t="shared" ref="C39:D39" si="4">SUM(C35:C38)</f>
        <v>0</v>
      </c>
      <c r="D39" s="257">
        <f t="shared" si="4"/>
        <v>0</v>
      </c>
      <c r="I39" s="296"/>
    </row>
    <row r="40" spans="2:9" ht="15.75" thickTop="1" x14ac:dyDescent="0.25">
      <c r="C40" s="225"/>
    </row>
    <row r="61" spans="3:3" x14ac:dyDescent="0.25">
      <c r="C61" s="225"/>
    </row>
  </sheetData>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D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E39"/>
  <sheetViews>
    <sheetView topLeftCell="A8" zoomScale="110" zoomScaleNormal="110" workbookViewId="0">
      <selection activeCell="D29" sqref="D29"/>
    </sheetView>
  </sheetViews>
  <sheetFormatPr defaultColWidth="9.42578125" defaultRowHeight="14.25" x14ac:dyDescent="0.2"/>
  <cols>
    <col min="1" max="1" width="9.42578125" style="262"/>
    <col min="2" max="2" width="65.42578125" style="262" customWidth="1"/>
    <col min="3" max="4" width="9.5703125" style="262" customWidth="1"/>
    <col min="5" max="16384" width="9.42578125" style="262"/>
  </cols>
  <sheetData>
    <row r="1" spans="2:5" ht="15" x14ac:dyDescent="0.25">
      <c r="B1" s="18" t="str">
        <f>Declaration!C3</f>
        <v>South Lanarkshire College</v>
      </c>
    </row>
    <row r="2" spans="2:5" ht="30" x14ac:dyDescent="0.25">
      <c r="B2" s="85" t="s">
        <v>327</v>
      </c>
      <c r="C2" s="176" t="str">
        <f>SOCIE!D3</f>
        <v>FFR     2024-25</v>
      </c>
      <c r="D2" s="176" t="str">
        <f>SOCIE!E3</f>
        <v>MYR    2024-25</v>
      </c>
    </row>
    <row r="3" spans="2:5" ht="15" x14ac:dyDescent="0.25">
      <c r="B3" s="6" t="s">
        <v>328</v>
      </c>
      <c r="C3" s="263" t="s">
        <v>15</v>
      </c>
      <c r="D3" s="263" t="s">
        <v>15</v>
      </c>
    </row>
    <row r="4" spans="2:5" ht="15" x14ac:dyDescent="0.25">
      <c r="B4" s="6"/>
      <c r="C4" s="7"/>
      <c r="D4" s="7"/>
    </row>
    <row r="5" spans="2:5" ht="15" x14ac:dyDescent="0.25">
      <c r="B5" s="351" t="s">
        <v>329</v>
      </c>
      <c r="C5" s="352"/>
      <c r="D5" s="352"/>
      <c r="E5" s="264"/>
    </row>
    <row r="6" spans="2:5" ht="15" x14ac:dyDescent="0.25">
      <c r="B6" s="8" t="s">
        <v>330</v>
      </c>
      <c r="C6" s="28">
        <f>SOCIE!D14</f>
        <v>18300</v>
      </c>
      <c r="D6" s="28">
        <f>SOCIE!E14</f>
        <v>18606</v>
      </c>
    </row>
    <row r="7" spans="2:5" ht="30" x14ac:dyDescent="0.25">
      <c r="B7" s="10" t="s">
        <v>331</v>
      </c>
      <c r="C7" s="31">
        <f>SOCIE!D8/SOCIE!D14</f>
        <v>0.81551912568306006</v>
      </c>
      <c r="D7" s="31">
        <f>SOCIE!E8/SOCIE!E14</f>
        <v>0.80431043749328168</v>
      </c>
    </row>
    <row r="8" spans="2:5" ht="30" x14ac:dyDescent="0.25">
      <c r="B8" s="10" t="s">
        <v>332</v>
      </c>
      <c r="C8" s="31">
        <f t="shared" ref="C8:D8" si="0">100%-C7</f>
        <v>0.18448087431693994</v>
      </c>
      <c r="D8" s="31">
        <f t="shared" si="0"/>
        <v>0.19568956250671832</v>
      </c>
    </row>
    <row r="9" spans="2:5" ht="15" x14ac:dyDescent="0.25">
      <c r="B9" s="10" t="s">
        <v>333</v>
      </c>
      <c r="C9" s="31">
        <f>SOCIE!D7/SOCIE!D14</f>
        <v>0.15590163934426229</v>
      </c>
      <c r="D9" s="31">
        <f>SOCIE!E7/SOCIE!E14</f>
        <v>0.1618295173599914</v>
      </c>
    </row>
    <row r="10" spans="2:5" ht="15" x14ac:dyDescent="0.25">
      <c r="B10" s="9" t="s">
        <v>334</v>
      </c>
      <c r="C10" s="31">
        <f>SOCIE!D9/SOCIE!D14</f>
        <v>0</v>
      </c>
      <c r="D10" s="31">
        <f>SOCIE!E9/SOCIE!E14</f>
        <v>0</v>
      </c>
    </row>
    <row r="11" spans="2:5" ht="15" x14ac:dyDescent="0.25">
      <c r="B11" s="11" t="s">
        <v>335</v>
      </c>
      <c r="C11" s="33">
        <f>SOCIE!D10/SOCIE!D14</f>
        <v>2.7486338797814206E-2</v>
      </c>
      <c r="D11" s="33">
        <f>SOCIE!E10/SOCIE!E14</f>
        <v>3.3053853595614316E-2</v>
      </c>
    </row>
    <row r="12" spans="2:5" ht="15" x14ac:dyDescent="0.25">
      <c r="B12" s="17"/>
      <c r="C12" s="40"/>
      <c r="D12" s="40"/>
    </row>
    <row r="13" spans="2:5" ht="15" hidden="1" x14ac:dyDescent="0.25">
      <c r="B13" s="12"/>
      <c r="C13" s="12"/>
      <c r="D13" s="12"/>
    </row>
    <row r="14" spans="2:5" ht="15" x14ac:dyDescent="0.25">
      <c r="B14" s="353" t="s">
        <v>336</v>
      </c>
      <c r="C14" s="354"/>
      <c r="D14" s="354"/>
      <c r="E14" s="264"/>
    </row>
    <row r="15" spans="2:5" ht="15" x14ac:dyDescent="0.25">
      <c r="B15" s="8" t="s">
        <v>337</v>
      </c>
      <c r="C15" s="28">
        <f>SOCIE!D27</f>
        <v>19601</v>
      </c>
      <c r="D15" s="28">
        <f>SOCIE!E27</f>
        <v>20608</v>
      </c>
    </row>
    <row r="16" spans="2:5" ht="15" x14ac:dyDescent="0.25">
      <c r="B16" s="9" t="s">
        <v>338</v>
      </c>
      <c r="C16" s="31">
        <f>SOCIE!D18/(SOCIE!D27-SOCIE!D23)</f>
        <v>0.73926312284985018</v>
      </c>
      <c r="D16" s="31">
        <f>SOCIE!E18/(SOCIE!E27-SOCIE!E23)</f>
        <v>0.73125763774507202</v>
      </c>
    </row>
    <row r="17" spans="2:5" ht="15" x14ac:dyDescent="0.25">
      <c r="B17" s="8" t="s">
        <v>339</v>
      </c>
      <c r="C17" s="31">
        <f>SOCIE!D21/(SOCIE!D27-SOCIE!D23)</f>
        <v>0.1996448784818555</v>
      </c>
      <c r="D17" s="31">
        <f>SOCIE!E21/(SOCIE!E27-SOCIE!E23)</f>
        <v>0.19828914510387333</v>
      </c>
    </row>
    <row r="18" spans="2:5" ht="15" x14ac:dyDescent="0.25">
      <c r="B18" s="11" t="s">
        <v>340</v>
      </c>
      <c r="C18" s="33">
        <f>SOCIE!D23/SOCIE!D27</f>
        <v>8.0557114432937102E-2</v>
      </c>
      <c r="D18" s="33">
        <f>SOCIE!E23/SOCIE!E27</f>
        <v>8.6713897515527952E-2</v>
      </c>
    </row>
    <row r="19" spans="2:5" ht="15" x14ac:dyDescent="0.25">
      <c r="B19" s="12"/>
      <c r="C19" s="12"/>
      <c r="D19" s="12"/>
    </row>
    <row r="20" spans="2:5" ht="15" x14ac:dyDescent="0.25">
      <c r="B20" s="353" t="s">
        <v>341</v>
      </c>
      <c r="C20" s="354"/>
      <c r="D20" s="354"/>
      <c r="E20" s="264"/>
    </row>
    <row r="21" spans="2:5" ht="15" x14ac:dyDescent="0.25">
      <c r="B21" s="13" t="s">
        <v>342</v>
      </c>
      <c r="C21" s="68">
        <f>SOCIE!D30</f>
        <v>-1301</v>
      </c>
      <c r="D21" s="68">
        <f>SOCIE!E30</f>
        <v>-2002</v>
      </c>
    </row>
    <row r="22" spans="2:5" ht="15" x14ac:dyDescent="0.25">
      <c r="B22" s="27" t="s">
        <v>343</v>
      </c>
      <c r="C22" s="31">
        <f>SOCIE!D30/SOCIE!D14</f>
        <v>-7.109289617486339E-2</v>
      </c>
      <c r="D22" s="32">
        <f>SOCIE!E30/SOCIE!E14</f>
        <v>-0.10759969902182091</v>
      </c>
    </row>
    <row r="23" spans="2:5" ht="15" x14ac:dyDescent="0.25">
      <c r="B23" s="9" t="s">
        <v>344</v>
      </c>
      <c r="C23" s="68">
        <f>'Adjusted operating result'!C24</f>
        <v>-692</v>
      </c>
      <c r="D23" s="68">
        <f>'Adjusted operating result'!D24</f>
        <v>-1121</v>
      </c>
      <c r="E23" s="265"/>
    </row>
    <row r="24" spans="2:5" ht="15" x14ac:dyDescent="0.25">
      <c r="B24" s="11" t="s">
        <v>345</v>
      </c>
      <c r="C24" s="88">
        <f>'Adjusted operating result'!C24/SOCIE!D14</f>
        <v>-3.7814207650273227E-2</v>
      </c>
      <c r="D24" s="88">
        <f>'Adjusted operating result'!D24/SOCIE!E14</f>
        <v>-6.0249381919810815E-2</v>
      </c>
    </row>
    <row r="25" spans="2:5" ht="15" x14ac:dyDescent="0.25">
      <c r="B25" s="12"/>
      <c r="C25" s="12"/>
      <c r="D25" s="12"/>
    </row>
    <row r="26" spans="2:5" ht="15" x14ac:dyDescent="0.25">
      <c r="B26" s="353" t="s">
        <v>346</v>
      </c>
      <c r="C26" s="354"/>
      <c r="D26" s="354"/>
      <c r="E26" s="264"/>
    </row>
    <row r="27" spans="2:5" ht="15" x14ac:dyDescent="0.25">
      <c r="B27" s="8" t="s">
        <v>347</v>
      </c>
      <c r="C27" s="28">
        <f>'Balance sheet'!E14+'Balance sheet'!E13</f>
        <v>823</v>
      </c>
      <c r="D27" s="28">
        <f>'Balance sheet'!F14+'Balance sheet'!F13</f>
        <v>2002</v>
      </c>
      <c r="E27" s="264"/>
    </row>
    <row r="28" spans="2:5" ht="15" x14ac:dyDescent="0.25">
      <c r="B28" s="8" t="s">
        <v>348</v>
      </c>
      <c r="C28" s="28">
        <f>'Balance sheet'!E19</f>
        <v>0</v>
      </c>
      <c r="D28" s="28">
        <f>'Balance sheet'!F19</f>
        <v>0</v>
      </c>
      <c r="E28" s="264"/>
    </row>
    <row r="29" spans="2:5" ht="15" x14ac:dyDescent="0.25">
      <c r="B29" s="165" t="s">
        <v>349</v>
      </c>
      <c r="C29" s="166">
        <f>('Balance sheet'!E14+'Balance sheet'!E13-'Balance sheet'!E19)/(SOCIE!D27-SOCIE!D23)*365</f>
        <v>16.668238819220953</v>
      </c>
      <c r="D29" s="166">
        <f>('Balance sheet'!F14+'Balance sheet'!F13-'Balance sheet'!F19)/(SOCIE!E27-SOCIE!E23)*365</f>
        <v>38.825248392752776</v>
      </c>
      <c r="E29" s="264"/>
    </row>
    <row r="30" spans="2:5" ht="15" x14ac:dyDescent="0.25">
      <c r="B30" s="9" t="s">
        <v>350</v>
      </c>
      <c r="C30" s="93">
        <f>Cashflow!E33</f>
        <v>-552</v>
      </c>
      <c r="D30" s="93">
        <f>Cashflow!F33</f>
        <v>-2065</v>
      </c>
    </row>
    <row r="31" spans="2:5" ht="15" x14ac:dyDescent="0.25">
      <c r="B31" s="332" t="s">
        <v>351</v>
      </c>
      <c r="C31" s="333">
        <f>Cashflow!E33/SOCIE!D14</f>
        <v>-3.016393442622951E-2</v>
      </c>
      <c r="D31" s="333">
        <f>Cashflow!F33/SOCIE!E14</f>
        <v>-0.1109857035364936</v>
      </c>
      <c r="E31" s="264"/>
    </row>
    <row r="32" spans="2:5" ht="15" x14ac:dyDescent="0.25">
      <c r="B32" s="331" t="s">
        <v>352</v>
      </c>
      <c r="C32" s="88" t="e">
        <f>Cashflow!E33/C37</f>
        <v>#DIV/0!</v>
      </c>
      <c r="D32" s="88" t="e">
        <f>Cashflow!F33/D37</f>
        <v>#DIV/0!</v>
      </c>
      <c r="E32" s="264"/>
    </row>
    <row r="33" spans="2:5" ht="29.45" customHeight="1" x14ac:dyDescent="0.25">
      <c r="B33" s="355" t="s">
        <v>353</v>
      </c>
      <c r="C33" s="356"/>
      <c r="D33" s="356"/>
      <c r="E33" s="264"/>
    </row>
    <row r="34" spans="2:5" ht="15" x14ac:dyDescent="0.25">
      <c r="B34" s="67" t="s">
        <v>231</v>
      </c>
      <c r="C34" s="68">
        <f>'Balance sheet'!E52</f>
        <v>3706</v>
      </c>
      <c r="D34" s="69">
        <f>'Balance sheet'!F52</f>
        <v>2531</v>
      </c>
    </row>
    <row r="35" spans="2:5" ht="15" x14ac:dyDescent="0.25">
      <c r="B35" s="8" t="s">
        <v>354</v>
      </c>
      <c r="C35" s="30">
        <f>'Liquidity Analysis'!E25</f>
        <v>1.5389688249400479</v>
      </c>
      <c r="D35" s="29">
        <f>'Liquidity Analysis'!F25</f>
        <v>1.6359281437125748</v>
      </c>
    </row>
    <row r="36" spans="2:5" ht="15" x14ac:dyDescent="0.25">
      <c r="B36" s="8" t="s">
        <v>355</v>
      </c>
      <c r="C36" s="31">
        <f>'Balance sheet'!E52/SOCIE!D14</f>
        <v>0.20251366120218578</v>
      </c>
      <c r="D36" s="31">
        <f>'Balance sheet'!F52/SOCIE!E14</f>
        <v>0.13603138772438997</v>
      </c>
    </row>
    <row r="37" spans="2:5" ht="15" x14ac:dyDescent="0.25">
      <c r="B37" s="14" t="s">
        <v>356</v>
      </c>
      <c r="C37" s="28">
        <f>'Balance sheet'!E18+'Balance sheet'!E19+'Balance sheet'!E20+'Balance sheet'!E21+'Balance sheet'!E34+'Balance sheet'!E35+'Balance sheet'!E36+'Balance sheet'!E37+'Balance sheet'!E24+'Balance sheet'!E38</f>
        <v>0</v>
      </c>
      <c r="D37" s="28">
        <f>'Balance sheet'!F18+'Balance sheet'!F19+'Balance sheet'!F20+'Balance sheet'!F21+'Balance sheet'!F34+'Balance sheet'!F35+'Balance sheet'!F36+'Balance sheet'!F37+'Balance sheet'!F24+'Balance sheet'!F38</f>
        <v>0</v>
      </c>
    </row>
    <row r="38" spans="2:5" ht="15" x14ac:dyDescent="0.25">
      <c r="B38" s="53" t="s">
        <v>357</v>
      </c>
      <c r="C38" s="54">
        <f>(SOCIE!D30+SOCIE!D24)/SOCIE!D24</f>
        <v>-1300</v>
      </c>
      <c r="D38" s="54">
        <f>(SOCIE!E30+SOCIE!E24)/SOCIE!E24</f>
        <v>-2001</v>
      </c>
    </row>
    <row r="39" spans="2:5" ht="15" x14ac:dyDescent="0.25">
      <c r="B39" s="12"/>
      <c r="C39" s="12"/>
      <c r="D39" s="12"/>
    </row>
  </sheetData>
  <sheetProtection algorithmName="SHA-512" hashValue="6swleOOQt71Z+ZwenO2od5ifhsQGNlWccJUbh12itThcc8Fl6kqz/5EMihy3cjs+DVkf6Sl/NcbdrSNE9yd2zg==" saltValue="Yfjj5LGQNKHmQoSEdF44xw==" spinCount="100000" sheet="1" objects="1" scenarios="1"/>
  <mergeCells count="5">
    <mergeCell ref="B5:D5"/>
    <mergeCell ref="B14:D14"/>
    <mergeCell ref="B20:D20"/>
    <mergeCell ref="B26:D26"/>
    <mergeCell ref="B33:D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49"/>
  <sheetViews>
    <sheetView topLeftCell="A15" zoomScaleNormal="100" workbookViewId="0">
      <selection activeCell="I49" sqref="I49"/>
    </sheetView>
  </sheetViews>
  <sheetFormatPr defaultColWidth="9.42578125" defaultRowHeight="12.75" x14ac:dyDescent="0.2"/>
  <cols>
    <col min="1" max="1" width="9.42578125" style="1"/>
    <col min="2" max="2" width="63.5703125" style="1" customWidth="1"/>
    <col min="3" max="3" width="3.5703125" style="1" customWidth="1"/>
    <col min="4" max="4" width="9.5703125" style="1" customWidth="1"/>
    <col min="5" max="5" width="9.42578125" style="1"/>
    <col min="6" max="6" width="5.42578125" style="1" customWidth="1"/>
    <col min="7" max="8" width="10.5703125" style="1" customWidth="1"/>
    <col min="9" max="9" width="71" style="1" customWidth="1"/>
    <col min="10" max="16384" width="9.42578125" style="1"/>
  </cols>
  <sheetData>
    <row r="1" spans="2:19" ht="15" x14ac:dyDescent="0.25">
      <c r="B1" s="18" t="str">
        <f>Declaration!C3</f>
        <v>South Lanarkshire College</v>
      </c>
      <c r="C1" s="18"/>
      <c r="D1" s="16"/>
      <c r="E1" s="16"/>
      <c r="F1" s="16"/>
      <c r="G1" s="16"/>
      <c r="H1" s="16"/>
      <c r="I1" s="16"/>
      <c r="J1" s="4"/>
      <c r="K1" s="4"/>
      <c r="L1" s="4"/>
      <c r="M1" s="4"/>
      <c r="N1" s="4"/>
      <c r="O1" s="4"/>
      <c r="P1" s="4"/>
      <c r="Q1" s="4"/>
      <c r="R1" s="4"/>
      <c r="S1" s="5"/>
    </row>
    <row r="2" spans="2:19" ht="15" x14ac:dyDescent="0.25">
      <c r="B2" s="18"/>
      <c r="C2" s="18"/>
      <c r="D2" s="16"/>
      <c r="E2" s="16"/>
      <c r="F2" s="16"/>
      <c r="G2" s="16"/>
      <c r="H2" s="16"/>
      <c r="I2" s="15"/>
      <c r="J2" s="4"/>
      <c r="K2" s="4"/>
      <c r="L2" s="4"/>
      <c r="M2" s="4"/>
      <c r="N2" s="4"/>
      <c r="O2" s="4"/>
      <c r="P2" s="4"/>
      <c r="Q2" s="4"/>
      <c r="R2" s="4"/>
      <c r="S2" s="5"/>
    </row>
    <row r="3" spans="2:19" ht="67.5" customHeight="1" x14ac:dyDescent="0.25">
      <c r="B3" s="15" t="s">
        <v>10</v>
      </c>
      <c r="C3" s="15"/>
      <c r="D3" s="73" t="s">
        <v>11</v>
      </c>
      <c r="E3" s="73" t="s">
        <v>12</v>
      </c>
      <c r="F3" s="19"/>
      <c r="G3" s="73" t="s">
        <v>13</v>
      </c>
      <c r="H3" s="73" t="s">
        <v>13</v>
      </c>
      <c r="I3" s="73" t="s">
        <v>14</v>
      </c>
      <c r="J3" s="73"/>
      <c r="K3" s="73"/>
      <c r="L3" s="4"/>
      <c r="M3" s="4"/>
      <c r="N3" s="4"/>
      <c r="O3" s="3"/>
      <c r="P3" s="4"/>
      <c r="Q3" s="3"/>
      <c r="R3" s="2"/>
      <c r="S3" s="3"/>
    </row>
    <row r="4" spans="2:19" ht="15" x14ac:dyDescent="0.25">
      <c r="B4" s="16"/>
      <c r="C4" s="16"/>
      <c r="D4" s="20" t="s">
        <v>15</v>
      </c>
      <c r="E4" s="20" t="s">
        <v>15</v>
      </c>
      <c r="F4" s="16"/>
      <c r="G4" s="21" t="s">
        <v>16</v>
      </c>
      <c r="H4" s="21" t="s">
        <v>17</v>
      </c>
      <c r="I4" s="74"/>
      <c r="J4" s="74"/>
      <c r="K4" s="74"/>
    </row>
    <row r="5" spans="2:19" ht="15" x14ac:dyDescent="0.25">
      <c r="B5" s="15" t="s">
        <v>18</v>
      </c>
      <c r="C5" s="15"/>
      <c r="D5" s="16"/>
      <c r="E5" s="16"/>
      <c r="F5" s="16"/>
      <c r="G5" s="16"/>
      <c r="H5" s="16"/>
      <c r="I5" s="74"/>
      <c r="J5" s="74"/>
      <c r="K5" s="74"/>
    </row>
    <row r="6" spans="2:19" ht="15" x14ac:dyDescent="0.25">
      <c r="D6" s="16"/>
      <c r="E6" s="16"/>
      <c r="F6" s="16"/>
      <c r="G6" s="16"/>
      <c r="H6" s="16"/>
      <c r="I6" s="74"/>
      <c r="J6" s="74"/>
      <c r="K6" s="74"/>
    </row>
    <row r="7" spans="2:19" ht="15" x14ac:dyDescent="0.25">
      <c r="B7" s="22" t="s">
        <v>19</v>
      </c>
      <c r="C7" s="22"/>
      <c r="D7" s="98">
        <f>+Income!E14</f>
        <v>2853</v>
      </c>
      <c r="E7" s="98">
        <f>+Income!F14</f>
        <v>3011</v>
      </c>
      <c r="F7" s="16"/>
      <c r="G7" s="23">
        <f t="shared" ref="G7:G14" si="0">IF(D7=0,"",(E7-D7)/D7)</f>
        <v>5.5380301437083772E-2</v>
      </c>
      <c r="H7" s="179">
        <f>+E7-D7</f>
        <v>158</v>
      </c>
      <c r="I7" s="72" t="s">
        <v>364</v>
      </c>
      <c r="J7" s="72"/>
      <c r="K7" s="72"/>
    </row>
    <row r="8" spans="2:19" ht="15" x14ac:dyDescent="0.25">
      <c r="B8" s="22" t="s">
        <v>20</v>
      </c>
      <c r="C8" s="22"/>
      <c r="D8" s="98">
        <f>+Income!E25</f>
        <v>14924</v>
      </c>
      <c r="E8" s="98">
        <f>+Income!F25</f>
        <v>14965</v>
      </c>
      <c r="F8" s="16"/>
      <c r="G8" s="23">
        <f t="shared" si="0"/>
        <v>2.7472527472527475E-3</v>
      </c>
      <c r="H8" s="179">
        <f t="shared" ref="H8:H14" si="1">+E8-D8</f>
        <v>41</v>
      </c>
      <c r="I8" s="72"/>
      <c r="J8" s="72"/>
      <c r="K8" s="72"/>
    </row>
    <row r="9" spans="2:19" ht="15" x14ac:dyDescent="0.25">
      <c r="B9" s="22" t="s">
        <v>21</v>
      </c>
      <c r="C9" s="22"/>
      <c r="D9" s="98">
        <f>+Income!E29</f>
        <v>0</v>
      </c>
      <c r="E9" s="98">
        <f>+Income!F29</f>
        <v>0</v>
      </c>
      <c r="F9" s="16"/>
      <c r="G9" s="23" t="str">
        <f t="shared" si="0"/>
        <v/>
      </c>
      <c r="H9" s="179">
        <f t="shared" si="1"/>
        <v>0</v>
      </c>
      <c r="I9" s="72"/>
      <c r="J9" s="72"/>
      <c r="K9" s="72"/>
    </row>
    <row r="10" spans="2:19" ht="15" x14ac:dyDescent="0.25">
      <c r="B10" s="22" t="s">
        <v>22</v>
      </c>
      <c r="C10" s="22"/>
      <c r="D10" s="98">
        <f>+Income!E43</f>
        <v>503</v>
      </c>
      <c r="E10" s="98">
        <f>+Income!F43</f>
        <v>615</v>
      </c>
      <c r="F10" s="16"/>
      <c r="G10" s="23">
        <f t="shared" si="0"/>
        <v>0.22266401590457258</v>
      </c>
      <c r="H10" s="179">
        <f t="shared" si="1"/>
        <v>112</v>
      </c>
      <c r="I10" s="72" t="s">
        <v>365</v>
      </c>
      <c r="J10" s="72"/>
      <c r="K10" s="72"/>
    </row>
    <row r="11" spans="2:19" ht="15" x14ac:dyDescent="0.25">
      <c r="B11" s="22" t="s">
        <v>23</v>
      </c>
      <c r="C11" s="22"/>
      <c r="D11" s="95">
        <f>+Income!E51</f>
        <v>20</v>
      </c>
      <c r="E11" s="95">
        <f>+Income!F51</f>
        <v>15</v>
      </c>
      <c r="F11" s="16"/>
      <c r="G11" s="23">
        <f t="shared" si="0"/>
        <v>-0.25</v>
      </c>
      <c r="H11" s="179">
        <f t="shared" si="1"/>
        <v>-5</v>
      </c>
      <c r="I11" s="72"/>
      <c r="J11" s="72"/>
      <c r="K11" s="72"/>
    </row>
    <row r="12" spans="2:19" ht="15" x14ac:dyDescent="0.25">
      <c r="B12" s="24" t="s">
        <v>24</v>
      </c>
      <c r="C12" s="24"/>
      <c r="D12" s="164">
        <f>SUM(D7:D11)</f>
        <v>18300</v>
      </c>
      <c r="E12" s="164">
        <f>SUM(E7:E11)</f>
        <v>18606</v>
      </c>
      <c r="F12" s="16"/>
      <c r="G12" s="23">
        <f t="shared" si="0"/>
        <v>1.6721311475409836E-2</v>
      </c>
      <c r="H12" s="179">
        <f t="shared" si="1"/>
        <v>306</v>
      </c>
      <c r="I12" s="72"/>
      <c r="J12" s="72"/>
      <c r="K12" s="72"/>
    </row>
    <row r="13" spans="2:19" ht="15.75" thickBot="1" x14ac:dyDescent="0.3">
      <c r="B13" s="22" t="s">
        <v>25</v>
      </c>
      <c r="C13" s="22"/>
      <c r="D13" s="95">
        <f>+Income!E57</f>
        <v>0</v>
      </c>
      <c r="E13" s="95">
        <f>+Income!F57</f>
        <v>0</v>
      </c>
      <c r="F13" s="16"/>
      <c r="G13" s="23" t="str">
        <f t="shared" si="0"/>
        <v/>
      </c>
      <c r="H13" s="179">
        <f t="shared" si="1"/>
        <v>0</v>
      </c>
      <c r="I13" s="72"/>
      <c r="J13" s="72"/>
      <c r="K13" s="72"/>
    </row>
    <row r="14" spans="2:19" ht="15.75" thickBot="1" x14ac:dyDescent="0.3">
      <c r="B14" s="24" t="s">
        <v>26</v>
      </c>
      <c r="C14" s="24"/>
      <c r="D14" s="42">
        <f t="shared" ref="D14:E14" si="2">D12+D13</f>
        <v>18300</v>
      </c>
      <c r="E14" s="42">
        <f t="shared" si="2"/>
        <v>18606</v>
      </c>
      <c r="F14" s="15"/>
      <c r="G14" s="23">
        <f t="shared" si="0"/>
        <v>1.6721311475409836E-2</v>
      </c>
      <c r="H14" s="179">
        <f t="shared" si="1"/>
        <v>306</v>
      </c>
      <c r="I14" s="72"/>
      <c r="J14" s="72"/>
      <c r="K14" s="72"/>
    </row>
    <row r="15" spans="2:19" ht="15" x14ac:dyDescent="0.25">
      <c r="B15" s="22"/>
      <c r="C15" s="22"/>
      <c r="D15" s="43"/>
      <c r="E15" s="44"/>
      <c r="F15" s="16"/>
      <c r="G15" s="23"/>
      <c r="H15" s="23"/>
      <c r="I15" s="72"/>
      <c r="J15" s="72"/>
      <c r="K15" s="72"/>
    </row>
    <row r="16" spans="2:19" ht="15" x14ac:dyDescent="0.25">
      <c r="B16" s="24" t="s">
        <v>27</v>
      </c>
      <c r="C16" s="24"/>
      <c r="D16" s="41"/>
      <c r="E16" s="41"/>
      <c r="F16" s="16"/>
      <c r="G16" s="23"/>
      <c r="H16" s="23"/>
      <c r="I16" s="72"/>
      <c r="J16" s="72"/>
      <c r="K16" s="72"/>
    </row>
    <row r="17" spans="2:11" ht="15" x14ac:dyDescent="0.25">
      <c r="B17" s="22"/>
      <c r="C17" s="22"/>
      <c r="D17" s="41"/>
      <c r="E17" s="41"/>
      <c r="F17" s="16"/>
      <c r="G17" s="23"/>
      <c r="H17" s="23"/>
      <c r="I17" s="72"/>
      <c r="J17" s="72"/>
      <c r="K17" s="72"/>
    </row>
    <row r="18" spans="2:11" ht="15" x14ac:dyDescent="0.25">
      <c r="B18" s="22" t="s">
        <v>28</v>
      </c>
      <c r="C18" s="22"/>
      <c r="D18" s="95">
        <f>Expenditure!E16</f>
        <v>13323</v>
      </c>
      <c r="E18" s="95">
        <f>Expenditure!F16</f>
        <v>13763</v>
      </c>
      <c r="F18" s="16"/>
      <c r="G18" s="23">
        <f t="shared" ref="G18:G24" si="3">IF(D18=0,"",(E18-D18)/D18)</f>
        <v>3.3025594835997901E-2</v>
      </c>
      <c r="H18" s="179">
        <f t="shared" ref="H18:H24" si="4">+E18-D18</f>
        <v>440</v>
      </c>
      <c r="I18" s="72" t="s">
        <v>360</v>
      </c>
      <c r="J18" s="72"/>
      <c r="K18" s="72"/>
    </row>
    <row r="19" spans="2:11" ht="15" x14ac:dyDescent="0.25">
      <c r="B19" s="22" t="s">
        <v>29</v>
      </c>
      <c r="C19" s="22"/>
      <c r="D19" s="95">
        <f>Expenditure!E18</f>
        <v>1100</v>
      </c>
      <c r="E19" s="95">
        <f>Expenditure!F18</f>
        <v>1325</v>
      </c>
      <c r="F19" s="16"/>
      <c r="G19" s="23">
        <f t="shared" si="3"/>
        <v>0.20454545454545456</v>
      </c>
      <c r="H19" s="179">
        <f t="shared" si="4"/>
        <v>225</v>
      </c>
      <c r="I19" s="72" t="s">
        <v>361</v>
      </c>
      <c r="J19" s="72"/>
      <c r="K19" s="72"/>
    </row>
    <row r="20" spans="2:11" ht="15" x14ac:dyDescent="0.25">
      <c r="B20" s="22" t="s">
        <v>30</v>
      </c>
      <c r="C20" s="22"/>
      <c r="D20" s="95">
        <f>Expenditure!E33</f>
        <v>0</v>
      </c>
      <c r="E20" s="95">
        <f>Expenditure!F33</f>
        <v>0</v>
      </c>
      <c r="F20" s="16"/>
      <c r="G20" s="23" t="str">
        <f t="shared" si="3"/>
        <v/>
      </c>
      <c r="H20" s="179">
        <f t="shared" si="4"/>
        <v>0</v>
      </c>
      <c r="I20" s="72"/>
      <c r="J20" s="72"/>
      <c r="K20" s="72"/>
    </row>
    <row r="21" spans="2:11" ht="15" x14ac:dyDescent="0.25">
      <c r="B21" s="22" t="s">
        <v>31</v>
      </c>
      <c r="C21" s="22"/>
      <c r="D21" s="95">
        <f>Expenditure!E52</f>
        <v>3598</v>
      </c>
      <c r="E21" s="95">
        <f>Expenditure!F52</f>
        <v>3732</v>
      </c>
      <c r="F21" s="16"/>
      <c r="G21" s="23">
        <f t="shared" si="3"/>
        <v>3.7242912729294052E-2</v>
      </c>
      <c r="H21" s="179">
        <f t="shared" si="4"/>
        <v>134</v>
      </c>
      <c r="I21" s="72" t="s">
        <v>362</v>
      </c>
      <c r="J21" s="72"/>
      <c r="K21" s="72"/>
    </row>
    <row r="22" spans="2:11" ht="15" x14ac:dyDescent="0.25">
      <c r="B22" s="22" t="s">
        <v>32</v>
      </c>
      <c r="C22" s="22"/>
      <c r="D22" s="175">
        <v>0</v>
      </c>
      <c r="E22" s="175">
        <v>0</v>
      </c>
      <c r="F22" s="16"/>
      <c r="G22" s="23" t="str">
        <f t="shared" si="3"/>
        <v/>
      </c>
      <c r="H22" s="179">
        <f t="shared" si="4"/>
        <v>0</v>
      </c>
      <c r="I22" s="72"/>
      <c r="J22" s="72"/>
      <c r="K22" s="72"/>
    </row>
    <row r="23" spans="2:11" ht="15" x14ac:dyDescent="0.25">
      <c r="B23" s="22" t="s">
        <v>33</v>
      </c>
      <c r="C23" s="22"/>
      <c r="D23" s="95">
        <f>Expenditure!E57</f>
        <v>1579</v>
      </c>
      <c r="E23" s="95">
        <f>Expenditure!F57</f>
        <v>1787</v>
      </c>
      <c r="F23" s="16"/>
      <c r="G23" s="23">
        <f t="shared" si="3"/>
        <v>0.1317289423685877</v>
      </c>
      <c r="H23" s="179">
        <f t="shared" si="4"/>
        <v>208</v>
      </c>
      <c r="I23" s="72" t="s">
        <v>363</v>
      </c>
      <c r="J23" s="72"/>
      <c r="K23" s="72"/>
    </row>
    <row r="24" spans="2:11" ht="15" x14ac:dyDescent="0.25">
      <c r="B24" s="22" t="s">
        <v>34</v>
      </c>
      <c r="C24" s="22"/>
      <c r="D24" s="95">
        <f>Expenditure!E64</f>
        <v>1</v>
      </c>
      <c r="E24" s="95">
        <f>Expenditure!F64</f>
        <v>1</v>
      </c>
      <c r="F24" s="16"/>
      <c r="G24" s="23">
        <f t="shared" si="3"/>
        <v>0</v>
      </c>
      <c r="H24" s="179">
        <f t="shared" si="4"/>
        <v>0</v>
      </c>
      <c r="I24" s="72"/>
      <c r="J24" s="72"/>
      <c r="K24" s="72"/>
    </row>
    <row r="25" spans="2:11" ht="15" x14ac:dyDescent="0.25">
      <c r="B25" s="22"/>
      <c r="C25" s="22"/>
      <c r="D25" s="41"/>
      <c r="E25" s="51"/>
      <c r="F25" s="16"/>
      <c r="G25" s="23"/>
      <c r="H25" s="23"/>
      <c r="I25" s="72"/>
      <c r="J25" s="72"/>
      <c r="K25" s="72"/>
    </row>
    <row r="26" spans="2:11" ht="15.75" thickBot="1" x14ac:dyDescent="0.3">
      <c r="B26" s="22"/>
      <c r="C26" s="22"/>
      <c r="D26" s="41"/>
      <c r="E26" s="41"/>
      <c r="F26" s="16"/>
      <c r="G26" s="23"/>
      <c r="H26" s="23"/>
      <c r="I26" s="72"/>
      <c r="J26" s="72"/>
      <c r="K26" s="72"/>
    </row>
    <row r="27" spans="2:11" ht="15.75" thickBot="1" x14ac:dyDescent="0.3">
      <c r="B27" s="24" t="s">
        <v>35</v>
      </c>
      <c r="C27" s="24"/>
      <c r="D27" s="42">
        <f t="shared" ref="D27:E27" si="5">SUM(D18:D24)</f>
        <v>19601</v>
      </c>
      <c r="E27" s="42">
        <f t="shared" si="5"/>
        <v>20608</v>
      </c>
      <c r="F27" s="15"/>
      <c r="G27" s="23">
        <f>IF(D27=0,"",(E27-D27)/D27)</f>
        <v>5.137492985051783E-2</v>
      </c>
      <c r="H27" s="179">
        <f t="shared" ref="H27" si="6">+E27-D27</f>
        <v>1007</v>
      </c>
      <c r="I27" s="72"/>
      <c r="J27" s="72"/>
      <c r="K27" s="72"/>
    </row>
    <row r="28" spans="2:11" ht="15" x14ac:dyDescent="0.25">
      <c r="B28" s="22"/>
      <c r="C28" s="22"/>
      <c r="D28" s="45"/>
      <c r="E28" s="41"/>
      <c r="F28" s="16"/>
      <c r="G28" s="23"/>
      <c r="H28" s="23"/>
      <c r="I28" s="72"/>
      <c r="J28" s="72"/>
      <c r="K28" s="72"/>
    </row>
    <row r="29" spans="2:11" ht="15" customHeight="1" x14ac:dyDescent="0.25">
      <c r="B29" s="16"/>
      <c r="C29" s="16"/>
      <c r="D29" s="46"/>
      <c r="E29" s="46"/>
      <c r="F29" s="16"/>
      <c r="G29" s="23"/>
      <c r="H29" s="23"/>
      <c r="I29" s="72"/>
      <c r="J29" s="72"/>
      <c r="K29" s="72"/>
    </row>
    <row r="30" spans="2:11" ht="39" customHeight="1" x14ac:dyDescent="0.25">
      <c r="B30" s="25" t="s">
        <v>36</v>
      </c>
      <c r="C30" s="25"/>
      <c r="D30" s="47">
        <f t="shared" ref="D30:E30" si="7">D14-D27</f>
        <v>-1301</v>
      </c>
      <c r="E30" s="47">
        <f t="shared" si="7"/>
        <v>-2002</v>
      </c>
      <c r="F30" s="16"/>
      <c r="G30" s="23">
        <f>IF(D30=0,"",(E30-D30)/D30)</f>
        <v>0.53881629515757112</v>
      </c>
      <c r="H30" s="179">
        <f t="shared" ref="H30" si="8">+E30-D30</f>
        <v>-701</v>
      </c>
      <c r="I30" s="72"/>
      <c r="J30" s="72"/>
      <c r="K30" s="72"/>
    </row>
    <row r="31" spans="2:11" ht="13.5" customHeight="1" x14ac:dyDescent="0.25">
      <c r="B31" s="25"/>
      <c r="C31" s="25"/>
      <c r="D31" s="47"/>
      <c r="E31" s="47"/>
      <c r="F31" s="16"/>
      <c r="G31" s="23"/>
      <c r="H31" s="23"/>
      <c r="I31" s="72"/>
      <c r="J31" s="72"/>
      <c r="K31" s="72"/>
    </row>
    <row r="32" spans="2:11" ht="15" x14ac:dyDescent="0.25">
      <c r="B32" s="22"/>
      <c r="C32" s="22"/>
      <c r="D32" s="43"/>
      <c r="E32" s="41"/>
      <c r="F32" s="16"/>
      <c r="G32" s="23"/>
      <c r="H32" s="23"/>
      <c r="I32" s="72"/>
      <c r="J32" s="72"/>
      <c r="K32" s="72"/>
    </row>
    <row r="33" spans="2:11" ht="15" x14ac:dyDescent="0.25">
      <c r="B33" s="22" t="s">
        <v>37</v>
      </c>
      <c r="C33" s="22"/>
      <c r="D33" s="96">
        <f>'Capital expenditure'!C39</f>
        <v>0</v>
      </c>
      <c r="E33" s="96">
        <f>'Capital expenditure'!D39</f>
        <v>0</v>
      </c>
      <c r="F33" s="16"/>
      <c r="G33" s="23" t="str">
        <f>IF(D33=0,"",(E33-D33)/D33)</f>
        <v/>
      </c>
      <c r="H33" s="179">
        <f t="shared" ref="H33:H42" si="9">+E33-D33</f>
        <v>0</v>
      </c>
      <c r="I33" s="72"/>
      <c r="J33" s="72"/>
      <c r="K33" s="72"/>
    </row>
    <row r="34" spans="2:11" ht="15" x14ac:dyDescent="0.25">
      <c r="B34" s="22" t="s">
        <v>38</v>
      </c>
      <c r="C34" s="22"/>
      <c r="D34" s="96">
        <v>0</v>
      </c>
      <c r="E34" s="86">
        <v>0</v>
      </c>
      <c r="F34" s="16"/>
      <c r="G34" s="23" t="str">
        <f>IF(D34=0,"",(E34-D34)/D34)</f>
        <v/>
      </c>
      <c r="H34" s="179">
        <f t="shared" si="9"/>
        <v>0</v>
      </c>
      <c r="I34" s="72"/>
      <c r="J34" s="72"/>
      <c r="K34" s="72"/>
    </row>
    <row r="35" spans="2:11" ht="15" x14ac:dyDescent="0.25">
      <c r="B35" s="22" t="s">
        <v>39</v>
      </c>
      <c r="C35" s="22"/>
      <c r="D35" s="96">
        <v>0</v>
      </c>
      <c r="E35" s="86">
        <v>0</v>
      </c>
      <c r="F35" s="16"/>
      <c r="G35" s="23" t="str">
        <f>IF(D35=0,"",(E35-D35)/D35)</f>
        <v/>
      </c>
      <c r="H35" s="179">
        <f t="shared" si="9"/>
        <v>0</v>
      </c>
      <c r="I35" s="72"/>
      <c r="J35" s="72"/>
      <c r="K35" s="72"/>
    </row>
    <row r="36" spans="2:11" ht="15" x14ac:dyDescent="0.25">
      <c r="B36" s="22" t="s">
        <v>40</v>
      </c>
      <c r="C36" s="22"/>
      <c r="D36" s="96">
        <v>0</v>
      </c>
      <c r="E36" s="86">
        <v>0</v>
      </c>
      <c r="F36" s="16"/>
      <c r="G36" s="23" t="str">
        <f>IF(D36=0,"",(E36-D36)/D36)</f>
        <v/>
      </c>
      <c r="H36" s="179">
        <f t="shared" si="9"/>
        <v>0</v>
      </c>
      <c r="I36" s="72"/>
      <c r="J36" s="72"/>
      <c r="K36" s="72"/>
    </row>
    <row r="37" spans="2:11" ht="15" x14ac:dyDescent="0.25">
      <c r="B37" s="22"/>
      <c r="C37" s="22"/>
      <c r="D37" s="41"/>
      <c r="E37" s="41"/>
      <c r="F37" s="16"/>
      <c r="G37" s="23"/>
      <c r="H37" s="23"/>
      <c r="I37" s="72"/>
      <c r="J37" s="72"/>
      <c r="K37" s="72"/>
    </row>
    <row r="38" spans="2:11" ht="15" x14ac:dyDescent="0.25">
      <c r="B38" s="25" t="s">
        <v>41</v>
      </c>
      <c r="C38" s="25"/>
      <c r="D38" s="45">
        <f t="shared" ref="D38:E38" si="10">D30+D33+D34+D36+D35</f>
        <v>-1301</v>
      </c>
      <c r="E38" s="45">
        <f t="shared" si="10"/>
        <v>-2002</v>
      </c>
      <c r="F38" s="16"/>
      <c r="G38" s="23">
        <f>IF(D38=0,"",(E38-D38)/D38)</f>
        <v>0.53881629515757112</v>
      </c>
      <c r="H38" s="179">
        <f t="shared" si="9"/>
        <v>-701</v>
      </c>
      <c r="I38" s="72"/>
      <c r="J38" s="72"/>
      <c r="K38" s="72"/>
    </row>
    <row r="39" spans="2:11" ht="15" x14ac:dyDescent="0.25">
      <c r="B39" s="22"/>
      <c r="C39" s="22"/>
      <c r="D39" s="41"/>
      <c r="E39" s="41"/>
      <c r="F39" s="16"/>
      <c r="G39" s="23"/>
      <c r="H39" s="179"/>
      <c r="I39" s="72"/>
      <c r="J39" s="72"/>
      <c r="K39" s="72"/>
    </row>
    <row r="40" spans="2:11" ht="15" x14ac:dyDescent="0.25">
      <c r="B40" s="22" t="s">
        <v>42</v>
      </c>
      <c r="C40" s="22"/>
      <c r="D40" s="95">
        <v>0</v>
      </c>
      <c r="E40" s="71">
        <v>0</v>
      </c>
      <c r="F40" s="16"/>
      <c r="G40" s="23" t="str">
        <f>IF(D40=0,"",(E40-D40)/D40)</f>
        <v/>
      </c>
      <c r="H40" s="179">
        <f t="shared" si="9"/>
        <v>0</v>
      </c>
      <c r="I40" s="72"/>
      <c r="J40" s="72"/>
      <c r="K40" s="72"/>
    </row>
    <row r="41" spans="2:11" ht="15" x14ac:dyDescent="0.25">
      <c r="B41" s="22"/>
      <c r="C41" s="22"/>
      <c r="D41" s="41"/>
      <c r="E41" s="41"/>
      <c r="F41" s="16"/>
      <c r="G41" s="23"/>
      <c r="H41" s="179"/>
      <c r="I41" s="72"/>
      <c r="J41" s="72"/>
      <c r="K41" s="72"/>
    </row>
    <row r="42" spans="2:11" ht="15" x14ac:dyDescent="0.25">
      <c r="B42" s="25" t="s">
        <v>43</v>
      </c>
      <c r="C42" s="25"/>
      <c r="D42" s="77">
        <f t="shared" ref="D42:E42" si="11">D40+D38</f>
        <v>-1301</v>
      </c>
      <c r="E42" s="77">
        <f t="shared" si="11"/>
        <v>-2002</v>
      </c>
      <c r="F42" s="16"/>
      <c r="G42" s="23">
        <f>IF(D42=0,"",(E42-D42)/D42)</f>
        <v>0.53881629515757112</v>
      </c>
      <c r="H42" s="179">
        <f t="shared" si="9"/>
        <v>-701</v>
      </c>
      <c r="I42" s="72"/>
      <c r="J42" s="72"/>
      <c r="K42" s="72"/>
    </row>
    <row r="43" spans="2:11" ht="15" x14ac:dyDescent="0.25">
      <c r="B43" s="26"/>
      <c r="C43" s="26"/>
      <c r="D43" s="50"/>
      <c r="E43" s="50"/>
      <c r="F43" s="16"/>
      <c r="G43" s="23"/>
      <c r="H43" s="23"/>
      <c r="I43" s="72"/>
      <c r="J43" s="72"/>
      <c r="K43" s="72"/>
    </row>
    <row r="44" spans="2:11" ht="15" x14ac:dyDescent="0.25">
      <c r="B44" s="26" t="s">
        <v>44</v>
      </c>
      <c r="C44" s="26"/>
      <c r="D44" s="96">
        <v>0</v>
      </c>
      <c r="E44" s="86">
        <v>0</v>
      </c>
      <c r="F44" s="16"/>
      <c r="G44" s="23" t="str">
        <f>IF(D44=0,"",(E44-D44)/D44)</f>
        <v/>
      </c>
      <c r="H44" s="179">
        <f t="shared" ref="H44:H46" si="12">+E44-D44</f>
        <v>0</v>
      </c>
      <c r="I44" s="72"/>
      <c r="J44" s="72"/>
      <c r="K44" s="72"/>
    </row>
    <row r="45" spans="2:11" ht="15" x14ac:dyDescent="0.25">
      <c r="B45" s="22" t="s">
        <v>45</v>
      </c>
      <c r="C45" s="22"/>
      <c r="D45" s="96">
        <v>0</v>
      </c>
      <c r="E45" s="86">
        <v>0</v>
      </c>
      <c r="F45" s="52"/>
      <c r="G45" s="23" t="str">
        <f>IF(D45=0,"",(E45-D45)/D45)</f>
        <v/>
      </c>
      <c r="H45" s="179">
        <f t="shared" si="12"/>
        <v>0</v>
      </c>
      <c r="I45" s="72"/>
      <c r="J45" s="72"/>
      <c r="K45" s="72"/>
    </row>
    <row r="46" spans="2:11" ht="15" x14ac:dyDescent="0.25">
      <c r="B46" s="26" t="s">
        <v>46</v>
      </c>
      <c r="C46" s="26"/>
      <c r="D46" s="96">
        <v>0</v>
      </c>
      <c r="E46" s="86">
        <v>0</v>
      </c>
      <c r="F46" s="49"/>
      <c r="G46" s="23" t="str">
        <f>IF(D46=0,"",(E46-D46)/D46)</f>
        <v/>
      </c>
      <c r="H46" s="179">
        <f t="shared" si="12"/>
        <v>0</v>
      </c>
      <c r="I46" s="72"/>
      <c r="J46" s="72"/>
      <c r="K46" s="72"/>
    </row>
    <row r="47" spans="2:11" ht="15" x14ac:dyDescent="0.25">
      <c r="B47" s="22"/>
      <c r="C47" s="22"/>
      <c r="D47" s="41"/>
      <c r="E47" s="41"/>
      <c r="F47" s="16"/>
      <c r="G47" s="23"/>
      <c r="H47" s="23"/>
      <c r="I47" s="72"/>
      <c r="J47" s="72"/>
      <c r="K47" s="72"/>
    </row>
    <row r="48" spans="2:11" ht="15" x14ac:dyDescent="0.25">
      <c r="B48" s="25" t="s">
        <v>47</v>
      </c>
      <c r="C48" s="48"/>
      <c r="D48" s="78">
        <f t="shared" ref="D48:E48" si="13">D45+D44+D42+D46</f>
        <v>-1301</v>
      </c>
      <c r="E48" s="78">
        <f t="shared" si="13"/>
        <v>-2002</v>
      </c>
      <c r="F48" s="16"/>
      <c r="G48" s="23">
        <f>IF(D48=0,"",(E48-D48)/D48)</f>
        <v>0.53881629515757112</v>
      </c>
      <c r="H48" s="179">
        <f t="shared" ref="H48" si="14">+E48-D48</f>
        <v>-701</v>
      </c>
      <c r="I48" s="72"/>
      <c r="J48" s="72"/>
      <c r="K48" s="72"/>
    </row>
    <row r="49" spans="2:5" ht="15" x14ac:dyDescent="0.25">
      <c r="B49" s="17"/>
      <c r="C49" s="17"/>
      <c r="D49" s="51"/>
      <c r="E49" s="51"/>
    </row>
  </sheetData>
  <sheetProtection algorithmName="SHA-512" hashValue="ZTLmcdxPlNqVQGR8lkBS+SKNobbRAQym8cZDilZCHAQco5ml2+GN8RY7cbOoqbDiPr85WD4gE4r5aWZm6KGmIA==" saltValue="uOhAVQratwYAdHsLcT2SOQ==" spinCount="100000" sheet="1" objects="1" scenarios="1"/>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E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67"/>
  <sheetViews>
    <sheetView showGridLines="0" zoomScale="74" zoomScaleNormal="74" workbookViewId="0">
      <pane xSplit="4" ySplit="4" topLeftCell="E23" activePane="bottomRight" state="frozen"/>
      <selection activeCell="F36" sqref="F36"/>
      <selection pane="topRight" activeCell="F36" sqref="F36"/>
      <selection pane="bottomLeft" activeCell="F36" sqref="F36"/>
      <selection pane="bottomRight" activeCell="D64" sqref="D64"/>
    </sheetView>
  </sheetViews>
  <sheetFormatPr defaultColWidth="9.42578125" defaultRowHeight="12.75" x14ac:dyDescent="0.2"/>
  <cols>
    <col min="1" max="1" width="3" style="101" customWidth="1"/>
    <col min="2" max="2" width="21.5703125" style="101" customWidth="1"/>
    <col min="3" max="3" width="4.42578125" style="101" customWidth="1"/>
    <col min="4" max="4" width="48.5703125" style="101" customWidth="1"/>
    <col min="5" max="6" width="9.5703125" style="102" customWidth="1"/>
    <col min="7" max="7" width="3.42578125" style="102" customWidth="1"/>
    <col min="8" max="9" width="11.5703125" style="102" customWidth="1"/>
    <col min="10" max="10" width="56" style="103" customWidth="1"/>
    <col min="11" max="11" width="4.42578125" style="101" customWidth="1"/>
    <col min="12" max="12" width="4" style="101" customWidth="1"/>
    <col min="13" max="16384" width="9.42578125" style="101"/>
  </cols>
  <sheetData>
    <row r="2" spans="1:11" ht="17.25" x14ac:dyDescent="0.3">
      <c r="B2" s="104" t="str">
        <f>Declaration!C3</f>
        <v>South Lanarkshire College</v>
      </c>
      <c r="J2" s="105"/>
    </row>
    <row r="3" spans="1:11" s="106" customFormat="1" ht="49.5" customHeight="1" x14ac:dyDescent="0.2">
      <c r="B3" s="107" t="s">
        <v>18</v>
      </c>
      <c r="E3" s="73" t="str">
        <f>+SOCIE!D3</f>
        <v>FFR     2024-25</v>
      </c>
      <c r="F3" s="73" t="str">
        <f>+SOCIE!E3</f>
        <v>MYR    2024-25</v>
      </c>
      <c r="G3" s="108"/>
      <c r="H3" s="108" t="str">
        <f>+SOCIE!G3</f>
        <v>Variance</v>
      </c>
      <c r="I3" s="108" t="str">
        <f>+SOCIE!H3</f>
        <v>Variance</v>
      </c>
      <c r="J3" s="109" t="s">
        <v>14</v>
      </c>
    </row>
    <row r="4" spans="1:11" x14ac:dyDescent="0.2">
      <c r="E4" s="110" t="s">
        <v>15</v>
      </c>
      <c r="F4" s="110" t="s">
        <v>15</v>
      </c>
      <c r="G4" s="110"/>
      <c r="H4" s="167" t="str">
        <f>+SOCIE!G4</f>
        <v>%</v>
      </c>
      <c r="I4" s="167" t="str">
        <f>+SOCIE!H4</f>
        <v>£</v>
      </c>
      <c r="J4" s="111"/>
      <c r="K4" s="112"/>
    </row>
    <row r="6" spans="1:11" ht="15" customHeight="1" x14ac:dyDescent="0.2">
      <c r="A6" s="113">
        <v>1</v>
      </c>
      <c r="B6" s="114" t="s">
        <v>19</v>
      </c>
      <c r="E6" s="115"/>
      <c r="F6" s="115"/>
      <c r="G6" s="115"/>
      <c r="H6" s="116"/>
      <c r="I6" s="116"/>
      <c r="J6" s="117"/>
    </row>
    <row r="7" spans="1:11" x14ac:dyDescent="0.2">
      <c r="C7" s="118" t="s">
        <v>48</v>
      </c>
      <c r="D7" s="118" t="s">
        <v>49</v>
      </c>
      <c r="E7" s="120">
        <v>1546</v>
      </c>
      <c r="F7" s="119">
        <v>1444</v>
      </c>
      <c r="G7" s="121"/>
      <c r="H7" s="177">
        <f>IF(E7=0,"",(F7-E7)/E7)</f>
        <v>-6.5976714100905567E-2</v>
      </c>
      <c r="I7" s="181">
        <f>+F7-E7</f>
        <v>-102</v>
      </c>
      <c r="J7" s="122"/>
    </row>
    <row r="8" spans="1:11" x14ac:dyDescent="0.2">
      <c r="C8" s="118" t="s">
        <v>50</v>
      </c>
      <c r="D8" s="118" t="s">
        <v>51</v>
      </c>
      <c r="E8" s="120">
        <v>0</v>
      </c>
      <c r="F8" s="119">
        <v>0</v>
      </c>
      <c r="G8" s="121"/>
      <c r="H8" s="177" t="str">
        <f t="shared" ref="H8:H14" si="0">IF(E8=0,"",(F8-E8)/E8)</f>
        <v/>
      </c>
      <c r="I8" s="181">
        <f t="shared" ref="I8:I14" si="1">+F8-E8</f>
        <v>0</v>
      </c>
      <c r="J8" s="122"/>
    </row>
    <row r="9" spans="1:11" x14ac:dyDescent="0.2">
      <c r="C9" s="118" t="s">
        <v>52</v>
      </c>
      <c r="D9" s="118" t="s">
        <v>53</v>
      </c>
      <c r="E9" s="120">
        <v>773</v>
      </c>
      <c r="F9" s="119">
        <v>816</v>
      </c>
      <c r="G9" s="121"/>
      <c r="H9" s="177">
        <f t="shared" si="0"/>
        <v>5.5627425614489003E-2</v>
      </c>
      <c r="I9" s="181">
        <f t="shared" si="1"/>
        <v>43</v>
      </c>
      <c r="J9" s="122"/>
    </row>
    <row r="10" spans="1:11" x14ac:dyDescent="0.2">
      <c r="C10" s="118" t="s">
        <v>54</v>
      </c>
      <c r="D10" s="118" t="s">
        <v>55</v>
      </c>
      <c r="E10" s="120">
        <v>1</v>
      </c>
      <c r="F10" s="119">
        <v>33</v>
      </c>
      <c r="G10" s="121"/>
      <c r="H10" s="177">
        <f t="shared" si="0"/>
        <v>32</v>
      </c>
      <c r="I10" s="181">
        <f t="shared" si="1"/>
        <v>32</v>
      </c>
      <c r="J10" s="122"/>
    </row>
    <row r="11" spans="1:11" x14ac:dyDescent="0.2">
      <c r="C11" s="118" t="s">
        <v>56</v>
      </c>
      <c r="D11" s="118" t="s">
        <v>57</v>
      </c>
      <c r="E11" s="120">
        <v>350</v>
      </c>
      <c r="F11" s="119">
        <v>493</v>
      </c>
      <c r="G11" s="121"/>
      <c r="H11" s="177">
        <f t="shared" si="0"/>
        <v>0.40857142857142859</v>
      </c>
      <c r="I11" s="181">
        <f t="shared" si="1"/>
        <v>143</v>
      </c>
      <c r="J11" s="122"/>
    </row>
    <row r="12" spans="1:11" x14ac:dyDescent="0.2">
      <c r="C12" s="118" t="s">
        <v>58</v>
      </c>
      <c r="D12" s="118" t="s">
        <v>59</v>
      </c>
      <c r="E12" s="120">
        <v>0</v>
      </c>
      <c r="F12" s="119">
        <v>0</v>
      </c>
      <c r="G12" s="121"/>
      <c r="H12" s="177" t="str">
        <f t="shared" si="0"/>
        <v/>
      </c>
      <c r="I12" s="181">
        <f t="shared" si="1"/>
        <v>0</v>
      </c>
      <c r="J12" s="122"/>
    </row>
    <row r="13" spans="1:11" ht="13.5" thickBot="1" x14ac:dyDescent="0.25">
      <c r="A13" s="112"/>
      <c r="C13" s="118" t="s">
        <v>60</v>
      </c>
      <c r="D13" s="118" t="s">
        <v>61</v>
      </c>
      <c r="E13" s="120">
        <v>183</v>
      </c>
      <c r="F13" s="119">
        <v>225</v>
      </c>
      <c r="G13" s="121"/>
      <c r="H13" s="177">
        <f t="shared" si="0"/>
        <v>0.22950819672131148</v>
      </c>
      <c r="I13" s="181">
        <f t="shared" si="1"/>
        <v>42</v>
      </c>
      <c r="J13" s="122"/>
    </row>
    <row r="14" spans="1:11" ht="15.75" customHeight="1" thickBot="1" x14ac:dyDescent="0.25">
      <c r="A14" s="112"/>
      <c r="B14" s="112" t="s">
        <v>62</v>
      </c>
      <c r="E14" s="123">
        <f>SUM(E7:E13)</f>
        <v>2853</v>
      </c>
      <c r="F14" s="123">
        <f t="shared" ref="F14" si="2">SUM(F7:F13)</f>
        <v>3011</v>
      </c>
      <c r="G14" s="125"/>
      <c r="H14" s="177">
        <f t="shared" si="0"/>
        <v>5.5380301437083772E-2</v>
      </c>
      <c r="I14" s="181">
        <f t="shared" si="1"/>
        <v>158</v>
      </c>
      <c r="J14" s="124"/>
    </row>
    <row r="15" spans="1:11" ht="15.75" customHeight="1" x14ac:dyDescent="0.2">
      <c r="A15" s="112"/>
      <c r="B15" s="112"/>
      <c r="E15" s="125"/>
      <c r="F15" s="125"/>
      <c r="G15" s="125"/>
      <c r="H15" s="180"/>
      <c r="I15" s="180"/>
      <c r="J15" s="126"/>
    </row>
    <row r="16" spans="1:11" ht="15" customHeight="1" x14ac:dyDescent="0.2">
      <c r="A16" s="112">
        <v>2</v>
      </c>
      <c r="B16" s="101" t="s">
        <v>63</v>
      </c>
      <c r="E16" s="125"/>
      <c r="F16" s="125"/>
      <c r="G16" s="125"/>
      <c r="H16" s="180"/>
      <c r="I16" s="180"/>
      <c r="J16" s="126"/>
    </row>
    <row r="17" spans="1:10" x14ac:dyDescent="0.2">
      <c r="C17" s="127" t="s">
        <v>64</v>
      </c>
      <c r="D17" s="118" t="s">
        <v>65</v>
      </c>
      <c r="E17" s="120">
        <v>13724</v>
      </c>
      <c r="F17" s="119">
        <v>13724</v>
      </c>
      <c r="G17" s="121"/>
      <c r="H17" s="177">
        <f t="shared" ref="H17:H25" si="3">IF(E17=0,"",(F17-E17)/E17)</f>
        <v>0</v>
      </c>
      <c r="I17" s="178">
        <f t="shared" ref="I17:I25" si="4">+F17-E17</f>
        <v>0</v>
      </c>
      <c r="J17" s="122"/>
    </row>
    <row r="18" spans="1:10" ht="15" customHeight="1" x14ac:dyDescent="0.2">
      <c r="A18" s="112"/>
      <c r="C18" s="118" t="s">
        <v>50</v>
      </c>
      <c r="D18" s="118" t="s">
        <v>66</v>
      </c>
      <c r="E18" s="120">
        <v>0</v>
      </c>
      <c r="F18" s="119">
        <v>0</v>
      </c>
      <c r="G18" s="121"/>
      <c r="H18" s="177" t="str">
        <f t="shared" si="3"/>
        <v/>
      </c>
      <c r="I18" s="178">
        <f t="shared" si="4"/>
        <v>0</v>
      </c>
      <c r="J18" s="122"/>
    </row>
    <row r="19" spans="1:10" ht="15" customHeight="1" x14ac:dyDescent="0.2">
      <c r="C19" s="118" t="s">
        <v>52</v>
      </c>
      <c r="D19" s="118" t="s">
        <v>67</v>
      </c>
      <c r="E19" s="120">
        <v>0</v>
      </c>
      <c r="F19" s="119">
        <v>0</v>
      </c>
      <c r="G19" s="121"/>
      <c r="H19" s="177" t="str">
        <f t="shared" si="3"/>
        <v/>
      </c>
      <c r="I19" s="178">
        <f t="shared" si="4"/>
        <v>0</v>
      </c>
      <c r="J19" s="122"/>
    </row>
    <row r="20" spans="1:10" ht="15" customHeight="1" x14ac:dyDescent="0.2">
      <c r="C20" s="118" t="s">
        <v>54</v>
      </c>
      <c r="D20" s="118" t="s">
        <v>68</v>
      </c>
      <c r="E20" s="120">
        <v>805</v>
      </c>
      <c r="F20" s="119">
        <v>805</v>
      </c>
      <c r="G20" s="121"/>
      <c r="H20" s="177">
        <f t="shared" si="3"/>
        <v>0</v>
      </c>
      <c r="I20" s="178">
        <f t="shared" si="4"/>
        <v>0</v>
      </c>
      <c r="J20" s="122"/>
    </row>
    <row r="21" spans="1:10" ht="15" customHeight="1" x14ac:dyDescent="0.2">
      <c r="C21" s="118" t="s">
        <v>56</v>
      </c>
      <c r="D21" s="118" t="s">
        <v>69</v>
      </c>
      <c r="E21" s="120">
        <v>395</v>
      </c>
      <c r="F21" s="119">
        <f>212+205</f>
        <v>417</v>
      </c>
      <c r="G21" s="121"/>
      <c r="H21" s="177">
        <f t="shared" si="3"/>
        <v>5.5696202531645568E-2</v>
      </c>
      <c r="I21" s="178">
        <f t="shared" si="4"/>
        <v>22</v>
      </c>
      <c r="J21" s="122"/>
    </row>
    <row r="22" spans="1:10" ht="15" customHeight="1" x14ac:dyDescent="0.2">
      <c r="C22" s="118" t="s">
        <v>58</v>
      </c>
      <c r="D22" s="118" t="s">
        <v>70</v>
      </c>
      <c r="E22" s="120">
        <v>0</v>
      </c>
      <c r="F22" s="119">
        <v>0</v>
      </c>
      <c r="G22" s="121"/>
      <c r="H22" s="177" t="str">
        <f t="shared" si="3"/>
        <v/>
      </c>
      <c r="I22" s="178">
        <f t="shared" si="4"/>
        <v>0</v>
      </c>
      <c r="J22" s="122"/>
    </row>
    <row r="23" spans="1:10" ht="15" customHeight="1" x14ac:dyDescent="0.2">
      <c r="C23" s="128" t="s">
        <v>60</v>
      </c>
      <c r="D23" s="118" t="s">
        <v>71</v>
      </c>
      <c r="E23" s="120">
        <v>0</v>
      </c>
      <c r="F23" s="119">
        <f>224-205</f>
        <v>19</v>
      </c>
      <c r="G23" s="121"/>
      <c r="H23" s="177" t="str">
        <f t="shared" si="3"/>
        <v/>
      </c>
      <c r="I23" s="178">
        <f t="shared" si="4"/>
        <v>19</v>
      </c>
      <c r="J23" s="122"/>
    </row>
    <row r="24" spans="1:10" ht="13.5" thickBot="1" x14ac:dyDescent="0.25">
      <c r="C24" s="118" t="s">
        <v>72</v>
      </c>
      <c r="D24" s="118" t="s">
        <v>73</v>
      </c>
      <c r="E24" s="120">
        <v>0</v>
      </c>
      <c r="F24" s="119">
        <v>0</v>
      </c>
      <c r="G24" s="121"/>
      <c r="H24" s="177" t="str">
        <f t="shared" si="3"/>
        <v/>
      </c>
      <c r="I24" s="178">
        <f t="shared" si="4"/>
        <v>0</v>
      </c>
      <c r="J24" s="129"/>
    </row>
    <row r="25" spans="1:10" ht="15" customHeight="1" thickBot="1" x14ac:dyDescent="0.25">
      <c r="B25" s="112" t="s">
        <v>74</v>
      </c>
      <c r="C25" s="130"/>
      <c r="D25" s="131"/>
      <c r="E25" s="123">
        <f>SUM(E17:E24)</f>
        <v>14924</v>
      </c>
      <c r="F25" s="123">
        <f t="shared" ref="F25" si="5">SUM(F17:F24)</f>
        <v>14965</v>
      </c>
      <c r="G25" s="125"/>
      <c r="H25" s="177">
        <f t="shared" si="3"/>
        <v>2.7472527472527475E-3</v>
      </c>
      <c r="I25" s="178">
        <f t="shared" si="4"/>
        <v>41</v>
      </c>
      <c r="J25" s="124"/>
    </row>
    <row r="26" spans="1:10" ht="29.25" customHeight="1" x14ac:dyDescent="0.2">
      <c r="A26" s="112">
        <v>3</v>
      </c>
      <c r="B26" s="118" t="s">
        <v>21</v>
      </c>
      <c r="E26" s="115"/>
      <c r="F26" s="115"/>
      <c r="G26" s="115"/>
      <c r="H26" s="180"/>
      <c r="I26" s="180"/>
      <c r="J26" s="132"/>
    </row>
    <row r="27" spans="1:10" ht="15" customHeight="1" x14ac:dyDescent="0.2">
      <c r="C27" s="118" t="s">
        <v>64</v>
      </c>
      <c r="D27" s="118" t="s">
        <v>75</v>
      </c>
      <c r="E27" s="120">
        <v>0</v>
      </c>
      <c r="F27" s="119">
        <v>0</v>
      </c>
      <c r="G27" s="121"/>
      <c r="H27" s="177" t="str">
        <f>IF(E27=0,"",(F27-E27)/E27)</f>
        <v/>
      </c>
      <c r="I27" s="178">
        <f>+F27-E27</f>
        <v>0</v>
      </c>
      <c r="J27" s="122"/>
    </row>
    <row r="28" spans="1:10" ht="15" customHeight="1" thickBot="1" x14ac:dyDescent="0.25">
      <c r="C28" s="118" t="s">
        <v>50</v>
      </c>
      <c r="D28" s="118" t="s">
        <v>76</v>
      </c>
      <c r="E28" s="120">
        <v>0</v>
      </c>
      <c r="F28" s="119">
        <v>0</v>
      </c>
      <c r="G28" s="121"/>
      <c r="H28" s="177" t="str">
        <f t="shared" ref="H28:H29" si="6">IF(E28=0,"",(F28-E28)/E28)</f>
        <v/>
      </c>
      <c r="I28" s="178">
        <f t="shared" ref="I28:I29" si="7">+F28-E28</f>
        <v>0</v>
      </c>
      <c r="J28" s="122"/>
    </row>
    <row r="29" spans="1:10" ht="15" customHeight="1" thickBot="1" x14ac:dyDescent="0.25">
      <c r="B29" s="112" t="s">
        <v>77</v>
      </c>
      <c r="E29" s="123">
        <f>SUM(E27:E28)</f>
        <v>0</v>
      </c>
      <c r="F29" s="123">
        <f t="shared" ref="F29" si="8">SUM(F27:F28)</f>
        <v>0</v>
      </c>
      <c r="G29" s="125"/>
      <c r="H29" s="177" t="str">
        <f t="shared" si="6"/>
        <v/>
      </c>
      <c r="I29" s="178">
        <f t="shared" si="7"/>
        <v>0</v>
      </c>
      <c r="J29" s="124"/>
    </row>
    <row r="30" spans="1:10" ht="15" customHeight="1" x14ac:dyDescent="0.2">
      <c r="E30" s="115"/>
      <c r="F30" s="115"/>
      <c r="G30" s="115"/>
      <c r="H30" s="180"/>
      <c r="I30" s="180"/>
      <c r="J30" s="132"/>
    </row>
    <row r="31" spans="1:10" ht="15" customHeight="1" x14ac:dyDescent="0.2">
      <c r="A31" s="112">
        <v>4</v>
      </c>
      <c r="B31" s="101" t="s">
        <v>78</v>
      </c>
      <c r="E31" s="115"/>
      <c r="F31" s="115"/>
      <c r="G31" s="115"/>
      <c r="H31" s="180"/>
      <c r="I31" s="180"/>
      <c r="J31" s="132"/>
    </row>
    <row r="32" spans="1:10" ht="15" customHeight="1" x14ac:dyDescent="0.2">
      <c r="C32" s="118" t="s">
        <v>64</v>
      </c>
      <c r="D32" s="118" t="s">
        <v>79</v>
      </c>
      <c r="E32" s="120">
        <v>0</v>
      </c>
      <c r="F32" s="119">
        <v>0</v>
      </c>
      <c r="G32" s="121"/>
      <c r="H32" s="177" t="str">
        <f t="shared" ref="H32:H43" si="9">IF(E32=0,"",(F32-E32)/E32)</f>
        <v/>
      </c>
      <c r="I32" s="178">
        <f t="shared" ref="I32:I43" si="10">+F32-E32</f>
        <v>0</v>
      </c>
      <c r="J32" s="122"/>
    </row>
    <row r="33" spans="1:10" ht="15" customHeight="1" x14ac:dyDescent="0.2">
      <c r="C33" s="118" t="s">
        <v>50</v>
      </c>
      <c r="D33" s="118" t="s">
        <v>80</v>
      </c>
      <c r="E33" s="120">
        <v>0</v>
      </c>
      <c r="F33" s="119">
        <v>0</v>
      </c>
      <c r="G33" s="121"/>
      <c r="H33" s="177" t="str">
        <f t="shared" si="9"/>
        <v/>
      </c>
      <c r="I33" s="178">
        <f t="shared" si="10"/>
        <v>0</v>
      </c>
      <c r="J33" s="122"/>
    </row>
    <row r="34" spans="1:10" ht="15" customHeight="1" x14ac:dyDescent="0.2">
      <c r="C34" s="118" t="s">
        <v>52</v>
      </c>
      <c r="D34" s="118" t="s">
        <v>81</v>
      </c>
      <c r="E34" s="120">
        <v>0</v>
      </c>
      <c r="F34" s="119">
        <v>0</v>
      </c>
      <c r="G34" s="121"/>
      <c r="H34" s="177" t="str">
        <f t="shared" si="9"/>
        <v/>
      </c>
      <c r="I34" s="178">
        <f t="shared" si="10"/>
        <v>0</v>
      </c>
      <c r="J34" s="122"/>
    </row>
    <row r="35" spans="1:10" ht="15" customHeight="1" x14ac:dyDescent="0.2">
      <c r="C35" s="128" t="s">
        <v>54</v>
      </c>
      <c r="D35" s="118" t="s">
        <v>82</v>
      </c>
      <c r="E35" s="120">
        <f>SUM(E36:E37)</f>
        <v>122</v>
      </c>
      <c r="F35" s="120">
        <f t="shared" ref="F35" si="11">SUM(F36:F37)</f>
        <v>132</v>
      </c>
      <c r="G35" s="121"/>
      <c r="H35" s="177">
        <f t="shared" si="9"/>
        <v>8.1967213114754092E-2</v>
      </c>
      <c r="I35" s="178">
        <f t="shared" si="10"/>
        <v>10</v>
      </c>
      <c r="J35" s="122"/>
    </row>
    <row r="36" spans="1:10" ht="15" customHeight="1" x14ac:dyDescent="0.2">
      <c r="C36" s="128"/>
      <c r="D36" s="118" t="s">
        <v>83</v>
      </c>
      <c r="E36" s="120">
        <v>96</v>
      </c>
      <c r="F36" s="119">
        <v>129</v>
      </c>
      <c r="G36" s="121"/>
      <c r="H36" s="177">
        <f t="shared" si="9"/>
        <v>0.34375</v>
      </c>
      <c r="I36" s="178">
        <f t="shared" si="10"/>
        <v>33</v>
      </c>
      <c r="J36" s="122"/>
    </row>
    <row r="37" spans="1:10" ht="15" customHeight="1" x14ac:dyDescent="0.2">
      <c r="C37" s="128"/>
      <c r="D37" s="118" t="s">
        <v>84</v>
      </c>
      <c r="E37" s="120">
        <v>26</v>
      </c>
      <c r="F37" s="119">
        <v>3</v>
      </c>
      <c r="G37" s="121"/>
      <c r="H37" s="177">
        <f t="shared" si="9"/>
        <v>-0.88461538461538458</v>
      </c>
      <c r="I37" s="178">
        <f t="shared" si="10"/>
        <v>-23</v>
      </c>
      <c r="J37" s="122"/>
    </row>
    <row r="38" spans="1:10" ht="15" customHeight="1" x14ac:dyDescent="0.2">
      <c r="C38" s="128" t="s">
        <v>56</v>
      </c>
      <c r="D38" s="133" t="s">
        <v>85</v>
      </c>
      <c r="E38" s="120">
        <v>0</v>
      </c>
      <c r="F38" s="119">
        <v>0</v>
      </c>
      <c r="G38" s="121"/>
      <c r="H38" s="177" t="str">
        <f t="shared" si="9"/>
        <v/>
      </c>
      <c r="I38" s="178">
        <f t="shared" si="10"/>
        <v>0</v>
      </c>
      <c r="J38" s="122"/>
    </row>
    <row r="39" spans="1:10" ht="15" customHeight="1" x14ac:dyDescent="0.2">
      <c r="C39" s="118" t="s">
        <v>58</v>
      </c>
      <c r="D39" s="133" t="s">
        <v>86</v>
      </c>
      <c r="E39" s="120">
        <v>101</v>
      </c>
      <c r="F39" s="119">
        <f>141+3+191</f>
        <v>335</v>
      </c>
      <c r="G39" s="121"/>
      <c r="H39" s="177">
        <f t="shared" si="9"/>
        <v>2.3168316831683167</v>
      </c>
      <c r="I39" s="178">
        <f t="shared" si="10"/>
        <v>234</v>
      </c>
      <c r="J39" s="122" t="s">
        <v>372</v>
      </c>
    </row>
    <row r="40" spans="1:10" ht="15" customHeight="1" x14ac:dyDescent="0.2">
      <c r="C40" s="118" t="s">
        <v>60</v>
      </c>
      <c r="D40" s="118" t="s">
        <v>87</v>
      </c>
      <c r="E40" s="120">
        <v>139</v>
      </c>
      <c r="F40" s="119">
        <v>98</v>
      </c>
      <c r="G40" s="121"/>
      <c r="H40" s="177">
        <f t="shared" si="9"/>
        <v>-0.29496402877697842</v>
      </c>
      <c r="I40" s="178">
        <f t="shared" si="10"/>
        <v>-41</v>
      </c>
      <c r="J40" s="122"/>
    </row>
    <row r="41" spans="1:10" ht="15" hidden="1" customHeight="1" x14ac:dyDescent="0.2">
      <c r="C41" s="118" t="s">
        <v>72</v>
      </c>
      <c r="D41" s="118" t="s">
        <v>88</v>
      </c>
      <c r="E41" s="120"/>
      <c r="F41" s="293"/>
      <c r="G41" s="121"/>
      <c r="H41" s="177" t="str">
        <f t="shared" si="9"/>
        <v/>
      </c>
      <c r="I41" s="178">
        <f t="shared" si="10"/>
        <v>0</v>
      </c>
      <c r="J41" s="122"/>
    </row>
    <row r="42" spans="1:10" ht="15" customHeight="1" thickBot="1" x14ac:dyDescent="0.25">
      <c r="C42" s="118" t="s">
        <v>72</v>
      </c>
      <c r="D42" s="118" t="s">
        <v>22</v>
      </c>
      <c r="E42" s="120">
        <v>141</v>
      </c>
      <c r="F42" s="119">
        <v>50</v>
      </c>
      <c r="G42" s="121"/>
      <c r="H42" s="177">
        <f t="shared" si="9"/>
        <v>-0.64539007092198586</v>
      </c>
      <c r="I42" s="178">
        <f t="shared" si="10"/>
        <v>-91</v>
      </c>
      <c r="J42" s="122" t="s">
        <v>371</v>
      </c>
    </row>
    <row r="43" spans="1:10" ht="15" customHeight="1" thickBot="1" x14ac:dyDescent="0.25">
      <c r="B43" s="112" t="s">
        <v>89</v>
      </c>
      <c r="E43" s="123">
        <f t="shared" ref="E43:F43" si="12">SUM(E32:E42)-E35</f>
        <v>503</v>
      </c>
      <c r="F43" s="123">
        <f t="shared" si="12"/>
        <v>615</v>
      </c>
      <c r="G43" s="125"/>
      <c r="H43" s="177">
        <f t="shared" si="9"/>
        <v>0.22266401590457258</v>
      </c>
      <c r="I43" s="178">
        <f t="shared" si="10"/>
        <v>112</v>
      </c>
      <c r="J43" s="124"/>
    </row>
    <row r="44" spans="1:10" ht="15" customHeight="1" x14ac:dyDescent="0.2">
      <c r="E44" s="115"/>
      <c r="F44" s="115"/>
      <c r="G44" s="115"/>
      <c r="H44" s="180"/>
      <c r="I44" s="180"/>
      <c r="J44" s="132"/>
    </row>
    <row r="45" spans="1:10" ht="15" customHeight="1" x14ac:dyDescent="0.2">
      <c r="A45" s="112">
        <v>5</v>
      </c>
      <c r="B45" s="101" t="s">
        <v>23</v>
      </c>
      <c r="H45" s="180"/>
      <c r="I45" s="180"/>
      <c r="J45" s="132"/>
    </row>
    <row r="46" spans="1:10" ht="15" customHeight="1" x14ac:dyDescent="0.2">
      <c r="C46" s="118" t="s">
        <v>64</v>
      </c>
      <c r="D46" s="118" t="s">
        <v>90</v>
      </c>
      <c r="E46" s="120">
        <v>0</v>
      </c>
      <c r="F46" s="119">
        <v>0</v>
      </c>
      <c r="G46" s="121"/>
      <c r="H46" s="177" t="str">
        <f t="shared" ref="H46:H51" si="13">IF(E46=0,"",(F46-E46)/E46)</f>
        <v/>
      </c>
      <c r="I46" s="178">
        <f t="shared" ref="I46:I51" si="14">+F46-E46</f>
        <v>0</v>
      </c>
      <c r="J46" s="122"/>
    </row>
    <row r="47" spans="1:10" ht="15" customHeight="1" x14ac:dyDescent="0.2">
      <c r="C47" s="118" t="s">
        <v>50</v>
      </c>
      <c r="D47" s="118" t="s">
        <v>91</v>
      </c>
      <c r="E47" s="120">
        <v>0</v>
      </c>
      <c r="F47" s="119">
        <v>0</v>
      </c>
      <c r="G47" s="121"/>
      <c r="H47" s="177" t="str">
        <f t="shared" si="13"/>
        <v/>
      </c>
      <c r="I47" s="178">
        <f t="shared" si="14"/>
        <v>0</v>
      </c>
      <c r="J47" s="122"/>
    </row>
    <row r="48" spans="1:10" ht="15" customHeight="1" x14ac:dyDescent="0.2">
      <c r="C48" s="118" t="s">
        <v>52</v>
      </c>
      <c r="D48" s="118" t="s">
        <v>92</v>
      </c>
      <c r="E48" s="120">
        <v>0</v>
      </c>
      <c r="F48" s="119">
        <v>0</v>
      </c>
      <c r="G48" s="121"/>
      <c r="H48" s="177" t="str">
        <f t="shared" si="13"/>
        <v/>
      </c>
      <c r="I48" s="178">
        <f t="shared" si="14"/>
        <v>0</v>
      </c>
      <c r="J48" s="122"/>
    </row>
    <row r="49" spans="1:10" ht="15" customHeight="1" x14ac:dyDescent="0.2">
      <c r="C49" s="118" t="s">
        <v>54</v>
      </c>
      <c r="D49" s="118" t="s">
        <v>93</v>
      </c>
      <c r="E49" s="120">
        <v>20</v>
      </c>
      <c r="F49" s="119">
        <v>15</v>
      </c>
      <c r="G49" s="121"/>
      <c r="H49" s="177">
        <f t="shared" si="13"/>
        <v>-0.25</v>
      </c>
      <c r="I49" s="178">
        <f t="shared" si="14"/>
        <v>-5</v>
      </c>
      <c r="J49" s="122"/>
    </row>
    <row r="50" spans="1:10" ht="15" customHeight="1" thickBot="1" x14ac:dyDescent="0.25">
      <c r="C50" s="118" t="s">
        <v>56</v>
      </c>
      <c r="D50" s="118" t="s">
        <v>94</v>
      </c>
      <c r="E50" s="168">
        <v>0</v>
      </c>
      <c r="F50" s="134">
        <v>0</v>
      </c>
      <c r="G50" s="121"/>
      <c r="H50" s="177" t="str">
        <f t="shared" si="13"/>
        <v/>
      </c>
      <c r="I50" s="178">
        <f t="shared" si="14"/>
        <v>0</v>
      </c>
      <c r="J50" s="122"/>
    </row>
    <row r="51" spans="1:10" ht="15" customHeight="1" thickBot="1" x14ac:dyDescent="0.25">
      <c r="B51" s="112" t="s">
        <v>95</v>
      </c>
      <c r="E51" s="135">
        <f>SUM(E46:E50)</f>
        <v>20</v>
      </c>
      <c r="F51" s="135">
        <f t="shared" ref="F51" si="15">SUM(F46:F50)</f>
        <v>15</v>
      </c>
      <c r="G51" s="115"/>
      <c r="H51" s="177">
        <f t="shared" si="13"/>
        <v>-0.25</v>
      </c>
      <c r="I51" s="178">
        <f t="shared" si="14"/>
        <v>-5</v>
      </c>
      <c r="J51" s="122"/>
    </row>
    <row r="52" spans="1:10" ht="15" customHeight="1" x14ac:dyDescent="0.2">
      <c r="E52" s="115"/>
      <c r="F52" s="115"/>
      <c r="G52" s="115"/>
      <c r="H52" s="180"/>
      <c r="I52" s="180"/>
      <c r="J52" s="132"/>
    </row>
    <row r="53" spans="1:10" ht="15" customHeight="1" x14ac:dyDescent="0.2">
      <c r="A53" s="112">
        <v>6</v>
      </c>
      <c r="B53" s="101" t="s">
        <v>96</v>
      </c>
      <c r="E53" s="115"/>
      <c r="F53" s="115"/>
      <c r="G53" s="115"/>
      <c r="H53" s="180"/>
      <c r="I53" s="180"/>
      <c r="J53" s="132"/>
    </row>
    <row r="54" spans="1:10" ht="15" customHeight="1" x14ac:dyDescent="0.2">
      <c r="C54" s="101" t="s">
        <v>64</v>
      </c>
      <c r="D54" s="101" t="s">
        <v>97</v>
      </c>
      <c r="E54" s="120">
        <v>0</v>
      </c>
      <c r="F54" s="119">
        <v>0</v>
      </c>
      <c r="G54" s="121"/>
      <c r="H54" s="177" t="str">
        <f t="shared" ref="H54:H57" si="16">IF(E54=0,"",(F54-E54)/E54)</f>
        <v/>
      </c>
      <c r="I54" s="178">
        <f t="shared" ref="I54:I57" si="17">+F54-E54</f>
        <v>0</v>
      </c>
      <c r="J54" s="122"/>
    </row>
    <row r="55" spans="1:10" ht="15" customHeight="1" x14ac:dyDescent="0.2">
      <c r="C55" s="101" t="s">
        <v>50</v>
      </c>
      <c r="D55" s="101" t="s">
        <v>98</v>
      </c>
      <c r="E55" s="120">
        <v>0</v>
      </c>
      <c r="F55" s="119">
        <v>0</v>
      </c>
      <c r="G55" s="121"/>
      <c r="H55" s="177" t="str">
        <f t="shared" si="16"/>
        <v/>
      </c>
      <c r="I55" s="178">
        <f t="shared" si="17"/>
        <v>0</v>
      </c>
      <c r="J55" s="122"/>
    </row>
    <row r="56" spans="1:10" ht="15" customHeight="1" thickBot="1" x14ac:dyDescent="0.25">
      <c r="C56" s="101" t="s">
        <v>52</v>
      </c>
      <c r="D56" s="101" t="s">
        <v>99</v>
      </c>
      <c r="E56" s="120">
        <v>0</v>
      </c>
      <c r="F56" s="119">
        <v>0</v>
      </c>
      <c r="G56" s="121"/>
      <c r="H56" s="177" t="str">
        <f t="shared" si="16"/>
        <v/>
      </c>
      <c r="I56" s="178">
        <f t="shared" si="17"/>
        <v>0</v>
      </c>
      <c r="J56" s="122"/>
    </row>
    <row r="57" spans="1:10" ht="15" customHeight="1" thickBot="1" x14ac:dyDescent="0.25">
      <c r="B57" s="112" t="s">
        <v>100</v>
      </c>
      <c r="E57" s="135">
        <f>SUM(E54:E56)</f>
        <v>0</v>
      </c>
      <c r="F57" s="135">
        <f t="shared" ref="F57" si="18">SUM(F54:F56)</f>
        <v>0</v>
      </c>
      <c r="G57" s="115"/>
      <c r="H57" s="177" t="str">
        <f t="shared" si="16"/>
        <v/>
      </c>
      <c r="I57" s="178">
        <f t="shared" si="17"/>
        <v>0</v>
      </c>
      <c r="J57" s="122"/>
    </row>
    <row r="58" spans="1:10" x14ac:dyDescent="0.2">
      <c r="J58" s="117"/>
    </row>
    <row r="59" spans="1:10" x14ac:dyDescent="0.2">
      <c r="J59" s="117"/>
    </row>
    <row r="60" spans="1:10" x14ac:dyDescent="0.2">
      <c r="J60" s="117"/>
    </row>
    <row r="61" spans="1:10" x14ac:dyDescent="0.2">
      <c r="J61" s="117"/>
    </row>
    <row r="62" spans="1:10" x14ac:dyDescent="0.2">
      <c r="J62" s="117"/>
    </row>
    <row r="63" spans="1:10" x14ac:dyDescent="0.2">
      <c r="J63" s="117"/>
    </row>
    <row r="64" spans="1:10" x14ac:dyDescent="0.2">
      <c r="J64" s="117"/>
    </row>
    <row r="65" spans="10:10" x14ac:dyDescent="0.2">
      <c r="J65" s="117"/>
    </row>
    <row r="66" spans="10:10" x14ac:dyDescent="0.2">
      <c r="J66" s="117"/>
    </row>
    <row r="67" spans="10:10" x14ac:dyDescent="0.2">
      <c r="J67" s="117"/>
    </row>
  </sheetData>
  <sheetProtection algorithmName="SHA-512" hashValue="1/aQ4Rnu8N+JxyXDVDc+2R03rtJwfoVFttljfO8EVmqw78H75/bNCgK858ztxyeHFNMy4pqRWrfQlnA3N1FFdQ==" saltValue="n3j+eOACh5LCRmhoTJkLNQ==" spinCount="100000" sheet="1" formatRows="0"/>
  <conditionalFormatting sqref="H6:I57">
    <cfRule type="expression" dxfId="12" priority="1" stopIfTrue="1">
      <formula>#REF!&gt;0</formula>
    </cfRule>
    <cfRule type="expression" dxfId="11" priority="2" stopIfTrue="1">
      <formula>"m7&gt;0"</formula>
    </cfRule>
  </conditionalFormatting>
  <dataValidations count="1">
    <dataValidation type="whole" allowBlank="1" showInputMessage="1" showErrorMessage="1" sqref="E27:G28 E7:G13 E32:G42 E17:G24" xr:uid="{00000000-0002-0000-0200-000000000000}">
      <formula1>-1E+30</formula1>
      <formula2>1E+30</formula2>
    </dataValidation>
  </dataValidations>
  <pageMargins left="0.75" right="0.75" top="0.61" bottom="0.67" header="0.5" footer="0.5"/>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77"/>
  <sheetViews>
    <sheetView showGridLines="0" zoomScale="90" zoomScaleNormal="90" workbookViewId="0">
      <pane xSplit="4" ySplit="4" topLeftCell="E35" activePane="bottomRight" state="frozen"/>
      <selection activeCell="F36" sqref="F36"/>
      <selection pane="topRight" activeCell="F36" sqref="F36"/>
      <selection pane="bottomLeft" activeCell="F36" sqref="F36"/>
      <selection pane="bottomRight" activeCell="J67" sqref="J67"/>
    </sheetView>
  </sheetViews>
  <sheetFormatPr defaultColWidth="9.42578125" defaultRowHeight="12.75" x14ac:dyDescent="0.2"/>
  <cols>
    <col min="1" max="1" width="3.5703125" style="101" customWidth="1"/>
    <col min="2" max="2" width="32.42578125" style="101" customWidth="1"/>
    <col min="3" max="3" width="4.42578125" style="101" customWidth="1"/>
    <col min="4" max="4" width="46.5703125" style="101" customWidth="1"/>
    <col min="5" max="5" width="8.5703125" style="137" customWidth="1"/>
    <col min="6" max="6" width="9.5703125" style="137" customWidth="1"/>
    <col min="7" max="7" width="3.42578125" style="101" customWidth="1"/>
    <col min="8" max="9" width="10.5703125" style="137" customWidth="1"/>
    <col min="10" max="10" width="55" style="137" customWidth="1"/>
    <col min="11" max="11" width="4.5703125" style="101" customWidth="1"/>
    <col min="12" max="12" width="5.5703125" style="101" customWidth="1"/>
    <col min="13" max="16384" width="9.42578125" style="101"/>
  </cols>
  <sheetData>
    <row r="1" spans="1:11" ht="17.25" x14ac:dyDescent="0.2">
      <c r="B1" s="136" t="str">
        <f>Declaration!C3</f>
        <v>South Lanarkshire College</v>
      </c>
    </row>
    <row r="2" spans="1:11" x14ac:dyDescent="0.2">
      <c r="B2" s="107" t="s">
        <v>27</v>
      </c>
      <c r="J2" s="138"/>
    </row>
    <row r="3" spans="1:11" s="106" customFormat="1" ht="52.5" customHeight="1" x14ac:dyDescent="0.2">
      <c r="E3" s="169" t="str">
        <f>+SOCIE!D3</f>
        <v>FFR     2024-25</v>
      </c>
      <c r="F3" s="73" t="str">
        <f>+SOCIE!E3</f>
        <v>MYR    2024-25</v>
      </c>
      <c r="H3" s="73" t="str">
        <f>+SOCIE!G3</f>
        <v>Variance</v>
      </c>
      <c r="I3" s="73" t="str">
        <f>+SOCIE!H3</f>
        <v>Variance</v>
      </c>
      <c r="J3" s="109" t="str">
        <f>Income!J3</f>
        <v>Explanation for variance</v>
      </c>
    </row>
    <row r="4" spans="1:11" ht="15" x14ac:dyDescent="0.2">
      <c r="A4" s="112" t="s">
        <v>101</v>
      </c>
      <c r="E4" s="139" t="s">
        <v>15</v>
      </c>
      <c r="F4" s="139" t="s">
        <v>15</v>
      </c>
      <c r="G4" s="112"/>
      <c r="H4" s="73" t="str">
        <f>+SOCIE!G4</f>
        <v>%</v>
      </c>
      <c r="I4" s="73" t="str">
        <f>+SOCIE!H4</f>
        <v>£</v>
      </c>
      <c r="J4" s="140"/>
      <c r="K4" s="112"/>
    </row>
    <row r="5" spans="1:11" x14ac:dyDescent="0.2">
      <c r="A5" s="112"/>
    </row>
    <row r="7" spans="1:11" x14ac:dyDescent="0.2">
      <c r="A7" s="112">
        <v>1</v>
      </c>
      <c r="B7" s="101" t="s">
        <v>102</v>
      </c>
      <c r="E7" s="120">
        <v>8159</v>
      </c>
      <c r="F7" s="119">
        <f>9625-300</f>
        <v>9325</v>
      </c>
      <c r="G7" s="143"/>
      <c r="H7" s="177">
        <f t="shared" ref="H7" si="0">IF(E7=0,"",(F7-E7)/E7)</f>
        <v>0.14290967030273319</v>
      </c>
      <c r="I7" s="181">
        <f t="shared" ref="I7" si="1">+F7-E7</f>
        <v>1166</v>
      </c>
      <c r="J7" s="142" t="s">
        <v>359</v>
      </c>
      <c r="K7" s="143"/>
    </row>
    <row r="8" spans="1:11" ht="15" customHeight="1" x14ac:dyDescent="0.2">
      <c r="A8" s="112">
        <v>2</v>
      </c>
      <c r="B8" s="101" t="s">
        <v>103</v>
      </c>
      <c r="E8" s="120">
        <v>1885</v>
      </c>
      <c r="F8" s="119">
        <v>2223</v>
      </c>
      <c r="G8" s="143"/>
      <c r="H8" s="177">
        <f t="shared" ref="H8:H16" si="2">IF(E8=0,"",(F8-E8)/E8)</f>
        <v>0.1793103448275862</v>
      </c>
      <c r="I8" s="181">
        <f t="shared" ref="I8:I16" si="3">+F8-E8</f>
        <v>338</v>
      </c>
      <c r="J8" s="142" t="s">
        <v>359</v>
      </c>
      <c r="K8" s="143"/>
    </row>
    <row r="9" spans="1:11" ht="15" customHeight="1" x14ac:dyDescent="0.2">
      <c r="A9" s="112">
        <v>3</v>
      </c>
      <c r="B9" s="101" t="s">
        <v>104</v>
      </c>
      <c r="E9" s="120">
        <v>166</v>
      </c>
      <c r="F9" s="119">
        <v>481</v>
      </c>
      <c r="G9" s="143"/>
      <c r="H9" s="177">
        <f t="shared" si="2"/>
        <v>1.8975903614457832</v>
      </c>
      <c r="I9" s="181">
        <f t="shared" si="3"/>
        <v>315</v>
      </c>
      <c r="J9" s="142"/>
      <c r="K9" s="143"/>
    </row>
    <row r="10" spans="1:11" ht="15" customHeight="1" x14ac:dyDescent="0.2">
      <c r="A10" s="112">
        <v>4</v>
      </c>
      <c r="B10" s="101" t="s">
        <v>105</v>
      </c>
      <c r="E10" s="120">
        <v>2145</v>
      </c>
      <c r="F10" s="119">
        <f>1523-753</f>
        <v>770</v>
      </c>
      <c r="G10" s="143"/>
      <c r="H10" s="177">
        <f t="shared" si="2"/>
        <v>-0.64102564102564108</v>
      </c>
      <c r="I10" s="181">
        <f t="shared" si="3"/>
        <v>-1375</v>
      </c>
      <c r="J10" s="142"/>
      <c r="K10" s="143"/>
    </row>
    <row r="11" spans="1:11" x14ac:dyDescent="0.2">
      <c r="A11" s="112">
        <v>5</v>
      </c>
      <c r="B11" s="101" t="s">
        <v>106</v>
      </c>
      <c r="E11" s="120">
        <v>968</v>
      </c>
      <c r="F11" s="119">
        <v>964</v>
      </c>
      <c r="G11" s="143"/>
      <c r="H11" s="177">
        <f t="shared" si="2"/>
        <v>-4.1322314049586778E-3</v>
      </c>
      <c r="I11" s="181">
        <f t="shared" si="3"/>
        <v>-4</v>
      </c>
      <c r="J11" s="142"/>
      <c r="K11" s="143"/>
    </row>
    <row r="12" spans="1:11" ht="15" customHeight="1" x14ac:dyDescent="0.2">
      <c r="A12" s="112">
        <v>6</v>
      </c>
      <c r="B12" s="101" t="s">
        <v>79</v>
      </c>
      <c r="E12" s="120">
        <v>0</v>
      </c>
      <c r="F12" s="119">
        <v>0</v>
      </c>
      <c r="G12" s="143"/>
      <c r="H12" s="177" t="str">
        <f t="shared" si="2"/>
        <v/>
      </c>
      <c r="I12" s="181">
        <f t="shared" si="3"/>
        <v>0</v>
      </c>
      <c r="J12" s="142"/>
      <c r="K12" s="143"/>
    </row>
    <row r="13" spans="1:11" ht="15" customHeight="1" x14ac:dyDescent="0.2">
      <c r="A13" s="112">
        <v>7</v>
      </c>
      <c r="B13" s="101" t="s">
        <v>81</v>
      </c>
      <c r="E13" s="120">
        <v>0</v>
      </c>
      <c r="F13" s="119">
        <v>0</v>
      </c>
      <c r="G13" s="143"/>
      <c r="H13" s="177" t="str">
        <f t="shared" si="2"/>
        <v/>
      </c>
      <c r="I13" s="181">
        <f t="shared" si="3"/>
        <v>0</v>
      </c>
      <c r="J13" s="142"/>
      <c r="K13" s="143"/>
    </row>
    <row r="14" spans="1:11" ht="15" customHeight="1" x14ac:dyDescent="0.2">
      <c r="A14" s="112">
        <v>8</v>
      </c>
      <c r="B14" s="101" t="s">
        <v>107</v>
      </c>
      <c r="E14" s="120">
        <v>0</v>
      </c>
      <c r="F14" s="119">
        <v>0</v>
      </c>
      <c r="G14" s="143"/>
      <c r="H14" s="177" t="str">
        <f t="shared" si="2"/>
        <v/>
      </c>
      <c r="I14" s="181">
        <f t="shared" si="3"/>
        <v>0</v>
      </c>
      <c r="J14" s="142"/>
      <c r="K14" s="143"/>
    </row>
    <row r="15" spans="1:11" ht="15" customHeight="1" thickBot="1" x14ac:dyDescent="0.25">
      <c r="A15" s="112">
        <v>9</v>
      </c>
      <c r="B15" s="106" t="s">
        <v>108</v>
      </c>
      <c r="E15" s="184"/>
      <c r="F15" s="184"/>
      <c r="G15" s="143"/>
      <c r="H15" s="177" t="str">
        <f t="shared" si="2"/>
        <v/>
      </c>
      <c r="I15" s="181">
        <f t="shared" si="3"/>
        <v>0</v>
      </c>
      <c r="J15" s="142"/>
      <c r="K15" s="143"/>
    </row>
    <row r="16" spans="1:11" ht="15" customHeight="1" thickBot="1" x14ac:dyDescent="0.25">
      <c r="A16" s="113"/>
      <c r="B16" s="144" t="s">
        <v>109</v>
      </c>
      <c r="C16" s="144"/>
      <c r="D16" s="144"/>
      <c r="E16" s="170">
        <f>SUM(E7:E15)</f>
        <v>13323</v>
      </c>
      <c r="F16" s="145">
        <f t="shared" ref="F16" si="4">SUM(F7:F15)</f>
        <v>13763</v>
      </c>
      <c r="G16" s="143"/>
      <c r="H16" s="177">
        <f t="shared" si="2"/>
        <v>3.3025594835997901E-2</v>
      </c>
      <c r="I16" s="181">
        <f t="shared" si="3"/>
        <v>440</v>
      </c>
      <c r="J16" s="146"/>
      <c r="K16" s="143"/>
    </row>
    <row r="17" spans="1:11" ht="15" customHeight="1" x14ac:dyDescent="0.2">
      <c r="E17" s="121"/>
      <c r="F17" s="121"/>
      <c r="G17" s="143"/>
      <c r="H17" s="182"/>
      <c r="I17" s="182"/>
      <c r="J17" s="147"/>
      <c r="K17" s="143"/>
    </row>
    <row r="18" spans="1:11" ht="15" customHeight="1" thickBot="1" x14ac:dyDescent="0.25">
      <c r="A18" s="112">
        <v>10</v>
      </c>
      <c r="B18" s="101" t="s">
        <v>110</v>
      </c>
      <c r="E18" s="168">
        <v>1100</v>
      </c>
      <c r="F18" s="134">
        <v>1325</v>
      </c>
      <c r="G18" s="143"/>
      <c r="H18" s="177">
        <f t="shared" ref="H18:H19" si="5">IF(E18=0,"",(F18-E18)/E18)</f>
        <v>0.20454545454545456</v>
      </c>
      <c r="I18" s="178">
        <f t="shared" ref="I18:I19" si="6">+F18-E18</f>
        <v>225</v>
      </c>
      <c r="J18" s="142"/>
      <c r="K18" s="143"/>
    </row>
    <row r="19" spans="1:11" ht="15" customHeight="1" thickBot="1" x14ac:dyDescent="0.25">
      <c r="B19" s="112" t="s">
        <v>111</v>
      </c>
      <c r="C19" s="112"/>
      <c r="D19" s="112"/>
      <c r="E19" s="145">
        <f>E16+E18</f>
        <v>14423</v>
      </c>
      <c r="F19" s="145">
        <f t="shared" ref="F19" si="7">F16+F18</f>
        <v>15088</v>
      </c>
      <c r="G19" s="143"/>
      <c r="H19" s="177">
        <f t="shared" si="5"/>
        <v>4.6106912570200373E-2</v>
      </c>
      <c r="I19" s="178">
        <f t="shared" si="6"/>
        <v>665</v>
      </c>
      <c r="J19" s="146"/>
      <c r="K19" s="143"/>
    </row>
    <row r="20" spans="1:11" ht="15" customHeight="1" thickBot="1" x14ac:dyDescent="0.25">
      <c r="B20" s="112"/>
      <c r="C20" s="112"/>
      <c r="D20" s="112"/>
      <c r="E20" s="148"/>
      <c r="F20" s="148"/>
      <c r="G20" s="141"/>
      <c r="H20" s="182"/>
      <c r="I20" s="182"/>
      <c r="J20" s="149"/>
      <c r="K20" s="143"/>
    </row>
    <row r="21" spans="1:11" ht="15" customHeight="1" x14ac:dyDescent="0.2">
      <c r="B21" s="150" t="s">
        <v>112</v>
      </c>
      <c r="C21" s="151"/>
      <c r="D21" s="151"/>
      <c r="E21" s="152"/>
      <c r="F21" s="152"/>
      <c r="G21" s="153"/>
      <c r="H21" s="183"/>
      <c r="I21" s="183"/>
      <c r="J21" s="162"/>
      <c r="K21" s="143"/>
    </row>
    <row r="22" spans="1:11" ht="15" customHeight="1" x14ac:dyDescent="0.2">
      <c r="B22" s="154"/>
      <c r="C22" s="112"/>
      <c r="D22" s="112" t="s">
        <v>113</v>
      </c>
      <c r="E22" s="120">
        <v>10424</v>
      </c>
      <c r="F22" s="119">
        <f>E22/E16*F16</f>
        <v>10768.258800570442</v>
      </c>
      <c r="G22" s="143"/>
      <c r="H22" s="177">
        <f t="shared" ref="H22:H24" si="8">IF(E22=0,"",(F22-E22)/E22)</f>
        <v>3.3025594835997887E-2</v>
      </c>
      <c r="I22" s="178">
        <f t="shared" ref="I22:I24" si="9">+F22-E22</f>
        <v>344.25880057044196</v>
      </c>
      <c r="J22" s="163"/>
      <c r="K22" s="143"/>
    </row>
    <row r="23" spans="1:11" ht="15" customHeight="1" x14ac:dyDescent="0.2">
      <c r="B23" s="154"/>
      <c r="C23" s="112"/>
      <c r="D23" s="112" t="s">
        <v>114</v>
      </c>
      <c r="E23" s="120">
        <v>854</v>
      </c>
      <c r="F23" s="119">
        <f>E23/E16*F16</f>
        <v>882.20385798994221</v>
      </c>
      <c r="G23" s="143"/>
      <c r="H23" s="177">
        <f t="shared" si="8"/>
        <v>3.3025594835997901E-2</v>
      </c>
      <c r="I23" s="178">
        <f t="shared" si="9"/>
        <v>28.203857989942207</v>
      </c>
      <c r="J23" s="163"/>
      <c r="K23" s="143"/>
    </row>
    <row r="24" spans="1:11" ht="15" customHeight="1" x14ac:dyDescent="0.2">
      <c r="B24" s="154"/>
      <c r="C24" s="112"/>
      <c r="D24" s="112" t="s">
        <v>115</v>
      </c>
      <c r="E24" s="120">
        <v>2045</v>
      </c>
      <c r="F24" s="119">
        <f>E24/E16*F16</f>
        <v>2112.5373414396154</v>
      </c>
      <c r="G24" s="143"/>
      <c r="H24" s="177">
        <f t="shared" si="8"/>
        <v>3.3025594835997742E-2</v>
      </c>
      <c r="I24" s="178">
        <f t="shared" si="9"/>
        <v>67.537341439615375</v>
      </c>
      <c r="J24" s="163"/>
      <c r="K24" s="143"/>
    </row>
    <row r="25" spans="1:11" ht="15" customHeight="1" x14ac:dyDescent="0.2">
      <c r="B25" s="154"/>
      <c r="C25" s="112"/>
      <c r="D25" s="112" t="s">
        <v>116</v>
      </c>
      <c r="E25" s="184"/>
      <c r="F25" s="184"/>
      <c r="G25" s="143"/>
      <c r="H25" s="177" t="str">
        <f t="shared" ref="H25:H28" si="10">IF(E25=0,"",(F25-E25)/E25)</f>
        <v/>
      </c>
      <c r="I25" s="178">
        <f t="shared" ref="I25:I28" si="11">+F25-E25</f>
        <v>0</v>
      </c>
      <c r="J25" s="163"/>
      <c r="K25" s="143"/>
    </row>
    <row r="26" spans="1:11" ht="0.6" customHeight="1" x14ac:dyDescent="0.2">
      <c r="B26" s="154"/>
      <c r="C26" s="112"/>
      <c r="D26" s="112"/>
      <c r="E26" s="185"/>
      <c r="F26" s="184"/>
      <c r="G26" s="143"/>
      <c r="H26" s="177" t="str">
        <f t="shared" si="10"/>
        <v/>
      </c>
      <c r="I26" s="178">
        <f t="shared" si="11"/>
        <v>0</v>
      </c>
      <c r="J26" s="163"/>
      <c r="K26" s="143"/>
    </row>
    <row r="27" spans="1:11" ht="15" customHeight="1" x14ac:dyDescent="0.2">
      <c r="B27" s="154"/>
      <c r="C27" s="112"/>
      <c r="D27" s="112" t="s">
        <v>117</v>
      </c>
      <c r="E27" s="184"/>
      <c r="F27" s="184"/>
      <c r="G27" s="143"/>
      <c r="H27" s="177" t="str">
        <f t="shared" si="10"/>
        <v/>
      </c>
      <c r="I27" s="178">
        <f t="shared" si="11"/>
        <v>0</v>
      </c>
      <c r="J27" s="163"/>
      <c r="K27" s="143"/>
    </row>
    <row r="28" spans="1:11" ht="15" customHeight="1" thickBot="1" x14ac:dyDescent="0.25">
      <c r="B28" s="154"/>
      <c r="C28" s="112"/>
      <c r="D28" s="112" t="s">
        <v>118</v>
      </c>
      <c r="E28" s="120">
        <f>E18</f>
        <v>1100</v>
      </c>
      <c r="F28" s="120">
        <f>F18</f>
        <v>1325</v>
      </c>
      <c r="G28" s="143"/>
      <c r="H28" s="177">
        <f t="shared" si="10"/>
        <v>0.20454545454545456</v>
      </c>
      <c r="I28" s="178">
        <f t="shared" si="11"/>
        <v>225</v>
      </c>
      <c r="J28" s="163"/>
      <c r="K28" s="143"/>
    </row>
    <row r="29" spans="1:11" ht="16.5" customHeight="1" thickBot="1" x14ac:dyDescent="0.25">
      <c r="B29" s="154"/>
      <c r="C29" s="112"/>
      <c r="D29" s="112" t="s">
        <v>111</v>
      </c>
      <c r="E29" s="145">
        <f>SUM(E22:E28)</f>
        <v>14423</v>
      </c>
      <c r="F29" s="145">
        <f t="shared" ref="F29" si="12">SUM(F22:F28)</f>
        <v>15088</v>
      </c>
      <c r="G29" s="143"/>
      <c r="H29" s="177">
        <f t="shared" ref="H29" si="13">IF(E29=0,"",(F29-E29)/E29)</f>
        <v>4.6106912570200373E-2</v>
      </c>
      <c r="I29" s="266">
        <f t="shared" ref="I29" si="14">+F29-E29</f>
        <v>665</v>
      </c>
      <c r="J29" s="146"/>
      <c r="K29" s="143"/>
    </row>
    <row r="30" spans="1:11" ht="15" customHeight="1" thickBot="1" x14ac:dyDescent="0.25">
      <c r="B30" s="267"/>
      <c r="C30" s="155"/>
      <c r="D30" s="155"/>
      <c r="E30" s="170"/>
      <c r="F30" s="298" t="str">
        <f>IF(F29=F19,"","This total must match the total staff costs above")</f>
        <v/>
      </c>
      <c r="G30" s="268"/>
      <c r="H30" s="269"/>
      <c r="I30" s="270"/>
      <c r="J30" s="149"/>
      <c r="K30" s="143"/>
    </row>
    <row r="31" spans="1:11" ht="15" customHeight="1" x14ac:dyDescent="0.2">
      <c r="B31" s="112"/>
      <c r="C31" s="112"/>
      <c r="D31" s="112"/>
      <c r="E31" s="148"/>
      <c r="F31" s="148"/>
      <c r="G31" s="143"/>
      <c r="H31" s="182"/>
      <c r="I31" s="182"/>
      <c r="J31" s="149"/>
      <c r="K31" s="143"/>
    </row>
    <row r="32" spans="1:11" ht="15" customHeight="1" x14ac:dyDescent="0.2">
      <c r="A32" s="112" t="s">
        <v>119</v>
      </c>
      <c r="E32" s="121"/>
      <c r="F32" s="121"/>
      <c r="G32" s="141"/>
      <c r="H32" s="182"/>
      <c r="I32" s="182"/>
      <c r="J32" s="147"/>
      <c r="K32" s="143"/>
    </row>
    <row r="33" spans="1:11" ht="15" customHeight="1" x14ac:dyDescent="0.2">
      <c r="A33" s="107">
        <v>1</v>
      </c>
      <c r="B33" s="112" t="s">
        <v>30</v>
      </c>
      <c r="E33" s="120">
        <v>0</v>
      </c>
      <c r="F33" s="156">
        <v>0</v>
      </c>
      <c r="G33" s="143"/>
      <c r="H33" s="177" t="str">
        <f t="shared" ref="H33" si="15">IF(E33=0,"",(F33-E33)/E33)</f>
        <v/>
      </c>
      <c r="I33" s="178">
        <f t="shared" ref="I33" si="16">+F33-E33</f>
        <v>0</v>
      </c>
      <c r="J33" s="142"/>
      <c r="K33" s="143"/>
    </row>
    <row r="34" spans="1:11" ht="15" customHeight="1" x14ac:dyDescent="0.2">
      <c r="A34" s="112"/>
      <c r="E34" s="121"/>
      <c r="F34" s="121"/>
      <c r="G34" s="143"/>
      <c r="H34" s="182"/>
      <c r="I34" s="182"/>
      <c r="J34" s="147"/>
      <c r="K34" s="143"/>
    </row>
    <row r="35" spans="1:11" ht="15" customHeight="1" x14ac:dyDescent="0.2">
      <c r="E35" s="121"/>
      <c r="F35" s="121"/>
      <c r="G35" s="143"/>
      <c r="H35" s="182"/>
      <c r="I35" s="182"/>
      <c r="J35" s="147"/>
      <c r="K35" s="143"/>
    </row>
    <row r="36" spans="1:11" ht="15" customHeight="1" x14ac:dyDescent="0.2">
      <c r="A36" s="112">
        <v>2</v>
      </c>
      <c r="B36" s="112" t="s">
        <v>31</v>
      </c>
      <c r="C36" s="101" t="s">
        <v>64</v>
      </c>
      <c r="D36" s="101" t="s">
        <v>102</v>
      </c>
      <c r="E36" s="120">
        <v>1061</v>
      </c>
      <c r="F36" s="119">
        <f>1245-100</f>
        <v>1145</v>
      </c>
      <c r="G36" s="143"/>
      <c r="H36" s="177">
        <f t="shared" ref="H36:H52" si="17">IF(E36=0,"",(F36-E36)/E36)</f>
        <v>7.9170593779453347E-2</v>
      </c>
      <c r="I36" s="178">
        <f t="shared" ref="I36:I52" si="18">+F36-E36</f>
        <v>84</v>
      </c>
      <c r="J36" s="142"/>
      <c r="K36" s="143"/>
    </row>
    <row r="37" spans="1:11" ht="15" customHeight="1" x14ac:dyDescent="0.2">
      <c r="A37" s="112"/>
      <c r="C37" s="101" t="s">
        <v>50</v>
      </c>
      <c r="D37" s="101" t="s">
        <v>103</v>
      </c>
      <c r="E37" s="120">
        <v>561</v>
      </c>
      <c r="F37" s="119">
        <f>403-50</f>
        <v>353</v>
      </c>
      <c r="G37" s="143"/>
      <c r="H37" s="177">
        <f t="shared" si="17"/>
        <v>-0.37076648841354726</v>
      </c>
      <c r="I37" s="178">
        <f t="shared" si="18"/>
        <v>-208</v>
      </c>
      <c r="J37" s="142"/>
      <c r="K37" s="143"/>
    </row>
    <row r="38" spans="1:11" ht="15" customHeight="1" x14ac:dyDescent="0.2">
      <c r="A38" s="113"/>
      <c r="C38" s="131" t="s">
        <v>52</v>
      </c>
      <c r="D38" s="101" t="s">
        <v>104</v>
      </c>
      <c r="E38" s="120">
        <v>0</v>
      </c>
      <c r="F38" s="119">
        <v>0</v>
      </c>
      <c r="G38" s="143"/>
      <c r="H38" s="177" t="str">
        <f t="shared" si="17"/>
        <v/>
      </c>
      <c r="I38" s="178">
        <f t="shared" si="18"/>
        <v>0</v>
      </c>
      <c r="J38" s="142"/>
      <c r="K38" s="143"/>
    </row>
    <row r="39" spans="1:11" ht="15" customHeight="1" x14ac:dyDescent="0.2">
      <c r="A39" s="112"/>
      <c r="C39" s="101" t="s">
        <v>54</v>
      </c>
      <c r="D39" s="101" t="s">
        <v>105</v>
      </c>
      <c r="E39" s="120">
        <v>802</v>
      </c>
      <c r="F39" s="119">
        <f>956+111+96-403</f>
        <v>760</v>
      </c>
      <c r="G39" s="143"/>
      <c r="H39" s="177">
        <f t="shared" si="17"/>
        <v>-5.2369077306733167E-2</v>
      </c>
      <c r="I39" s="178">
        <f t="shared" si="18"/>
        <v>-42</v>
      </c>
      <c r="J39" s="142"/>
      <c r="K39" s="143"/>
    </row>
    <row r="40" spans="1:11" ht="15" customHeight="1" x14ac:dyDescent="0.2">
      <c r="A40" s="112"/>
      <c r="C40" s="101" t="s">
        <v>56</v>
      </c>
      <c r="D40" s="101" t="s">
        <v>120</v>
      </c>
      <c r="E40" s="120">
        <v>0</v>
      </c>
      <c r="F40" s="119">
        <v>0</v>
      </c>
      <c r="G40" s="143"/>
      <c r="H40" s="177" t="str">
        <f t="shared" si="17"/>
        <v/>
      </c>
      <c r="I40" s="178">
        <f t="shared" si="18"/>
        <v>0</v>
      </c>
      <c r="J40" s="142"/>
      <c r="K40" s="143"/>
    </row>
    <row r="41" spans="1:11" ht="15" customHeight="1" x14ac:dyDescent="0.2">
      <c r="A41" s="112"/>
      <c r="C41" s="118" t="s">
        <v>58</v>
      </c>
      <c r="D41" s="118" t="s">
        <v>106</v>
      </c>
      <c r="E41" s="171">
        <f>SUM(E42:E44)</f>
        <v>1174</v>
      </c>
      <c r="F41" s="171">
        <f>SUM(F42:F44)</f>
        <v>1474</v>
      </c>
      <c r="G41" s="143"/>
      <c r="H41" s="177">
        <f t="shared" si="17"/>
        <v>0.25553662691652468</v>
      </c>
      <c r="I41" s="178">
        <f t="shared" si="18"/>
        <v>300</v>
      </c>
      <c r="J41" s="142"/>
      <c r="K41" s="143"/>
    </row>
    <row r="42" spans="1:11" ht="15" customHeight="1" x14ac:dyDescent="0.2">
      <c r="A42" s="112"/>
      <c r="C42" s="137" t="s">
        <v>121</v>
      </c>
      <c r="D42" s="137" t="s">
        <v>122</v>
      </c>
      <c r="E42" s="120">
        <v>514</v>
      </c>
      <c r="F42" s="119">
        <v>542</v>
      </c>
      <c r="G42" s="143"/>
      <c r="H42" s="177">
        <f t="shared" si="17"/>
        <v>5.4474708171206226E-2</v>
      </c>
      <c r="I42" s="178">
        <f t="shared" si="18"/>
        <v>28</v>
      </c>
      <c r="J42" s="142"/>
      <c r="K42" s="143"/>
    </row>
    <row r="43" spans="1:11" ht="15" customHeight="1" x14ac:dyDescent="0.2">
      <c r="A43" s="112"/>
      <c r="C43" s="137" t="s">
        <v>123</v>
      </c>
      <c r="D43" s="137" t="s">
        <v>124</v>
      </c>
      <c r="E43" s="120">
        <v>413</v>
      </c>
      <c r="F43" s="119">
        <v>628</v>
      </c>
      <c r="G43" s="143"/>
      <c r="H43" s="177">
        <f t="shared" si="17"/>
        <v>0.52058111380145278</v>
      </c>
      <c r="I43" s="178">
        <f t="shared" si="18"/>
        <v>215</v>
      </c>
      <c r="J43" s="142" t="s">
        <v>376</v>
      </c>
      <c r="K43" s="143"/>
    </row>
    <row r="44" spans="1:11" ht="15" customHeight="1" x14ac:dyDescent="0.2">
      <c r="A44" s="112"/>
      <c r="C44" s="137" t="s">
        <v>125</v>
      </c>
      <c r="D44" s="137" t="s">
        <v>61</v>
      </c>
      <c r="E44" s="120">
        <v>247</v>
      </c>
      <c r="F44" s="119">
        <v>304</v>
      </c>
      <c r="G44" s="143"/>
      <c r="H44" s="177">
        <f t="shared" si="17"/>
        <v>0.23076923076923078</v>
      </c>
      <c r="I44" s="178">
        <f t="shared" si="18"/>
        <v>57</v>
      </c>
      <c r="J44" s="142"/>
      <c r="K44" s="143"/>
    </row>
    <row r="45" spans="1:11" ht="15" customHeight="1" x14ac:dyDescent="0.2">
      <c r="A45" s="112"/>
      <c r="C45" s="101" t="s">
        <v>60</v>
      </c>
      <c r="D45" s="101" t="s">
        <v>79</v>
      </c>
      <c r="E45" s="120">
        <v>0</v>
      </c>
      <c r="F45" s="119">
        <v>0</v>
      </c>
      <c r="G45" s="143"/>
      <c r="H45" s="177" t="str">
        <f t="shared" si="17"/>
        <v/>
      </c>
      <c r="I45" s="178">
        <f t="shared" si="18"/>
        <v>0</v>
      </c>
      <c r="J45" s="142"/>
      <c r="K45" s="143"/>
    </row>
    <row r="46" spans="1:11" ht="15" customHeight="1" x14ac:dyDescent="0.2">
      <c r="A46" s="112"/>
      <c r="C46" s="101" t="s">
        <v>72</v>
      </c>
      <c r="D46" s="101" t="s">
        <v>81</v>
      </c>
      <c r="E46" s="120">
        <v>0</v>
      </c>
      <c r="F46" s="119">
        <v>0</v>
      </c>
      <c r="G46" s="143"/>
      <c r="H46" s="177" t="str">
        <f t="shared" si="17"/>
        <v/>
      </c>
      <c r="I46" s="178">
        <f t="shared" si="18"/>
        <v>0</v>
      </c>
      <c r="J46" s="142"/>
      <c r="K46" s="143"/>
    </row>
    <row r="47" spans="1:11" ht="15" customHeight="1" x14ac:dyDescent="0.2">
      <c r="A47" s="112"/>
      <c r="C47" s="157" t="s">
        <v>126</v>
      </c>
      <c r="D47" s="106" t="s">
        <v>127</v>
      </c>
      <c r="E47" s="120">
        <v>0</v>
      </c>
      <c r="F47" s="119">
        <v>0</v>
      </c>
      <c r="G47" s="143"/>
      <c r="H47" s="177" t="str">
        <f t="shared" si="17"/>
        <v/>
      </c>
      <c r="I47" s="178">
        <f t="shared" si="18"/>
        <v>0</v>
      </c>
      <c r="J47" s="142"/>
      <c r="K47" s="143"/>
    </row>
    <row r="48" spans="1:11" ht="15" customHeight="1" x14ac:dyDescent="0.2">
      <c r="A48" s="112"/>
      <c r="C48" s="106" t="s">
        <v>128</v>
      </c>
      <c r="D48" s="106" t="s">
        <v>129</v>
      </c>
      <c r="E48" s="120">
        <v>0</v>
      </c>
      <c r="F48" s="119">
        <v>0</v>
      </c>
      <c r="G48" s="143"/>
      <c r="H48" s="177" t="str">
        <f t="shared" si="17"/>
        <v/>
      </c>
      <c r="I48" s="178">
        <f t="shared" si="18"/>
        <v>0</v>
      </c>
      <c r="J48" s="142"/>
      <c r="K48" s="143"/>
    </row>
    <row r="49" spans="1:44" ht="15" customHeight="1" x14ac:dyDescent="0.2">
      <c r="A49" s="112"/>
      <c r="C49" s="106" t="s">
        <v>130</v>
      </c>
      <c r="D49" s="101" t="s">
        <v>131</v>
      </c>
      <c r="E49" s="120">
        <v>0</v>
      </c>
      <c r="F49" s="119">
        <v>0</v>
      </c>
      <c r="G49" s="143"/>
      <c r="H49" s="177" t="str">
        <f t="shared" si="17"/>
        <v/>
      </c>
      <c r="I49" s="178">
        <f t="shared" si="18"/>
        <v>0</v>
      </c>
      <c r="J49" s="142"/>
      <c r="K49" s="143"/>
    </row>
    <row r="50" spans="1:44" ht="15" customHeight="1" x14ac:dyDescent="0.2">
      <c r="A50" s="112"/>
      <c r="C50" s="106" t="s">
        <v>132</v>
      </c>
      <c r="D50" s="101" t="s">
        <v>133</v>
      </c>
      <c r="E50" s="120">
        <v>0</v>
      </c>
      <c r="F50" s="119">
        <v>0</v>
      </c>
      <c r="G50" s="143"/>
      <c r="H50" s="177" t="str">
        <f t="shared" si="17"/>
        <v/>
      </c>
      <c r="I50" s="178">
        <f t="shared" si="18"/>
        <v>0</v>
      </c>
      <c r="J50" s="142"/>
      <c r="K50" s="143"/>
    </row>
    <row r="51" spans="1:44" ht="15" customHeight="1" thickBot="1" x14ac:dyDescent="0.25">
      <c r="A51" s="112"/>
      <c r="C51" s="106" t="s">
        <v>134</v>
      </c>
      <c r="D51" s="106" t="s">
        <v>61</v>
      </c>
      <c r="E51" s="120">
        <v>0</v>
      </c>
      <c r="F51" s="119">
        <v>0</v>
      </c>
      <c r="G51" s="143"/>
      <c r="H51" s="177" t="str">
        <f t="shared" si="17"/>
        <v/>
      </c>
      <c r="I51" s="178">
        <f t="shared" si="18"/>
        <v>0</v>
      </c>
      <c r="J51" s="142"/>
      <c r="K51" s="143"/>
    </row>
    <row r="52" spans="1:44" ht="15" customHeight="1" thickBot="1" x14ac:dyDescent="0.25">
      <c r="A52" s="112"/>
      <c r="B52" s="112" t="s">
        <v>135</v>
      </c>
      <c r="E52" s="158">
        <f>SUM(E36:E51)-E41</f>
        <v>3598</v>
      </c>
      <c r="F52" s="158">
        <f t="shared" ref="F52" si="19">SUM(F36:F51)-F41</f>
        <v>3732</v>
      </c>
      <c r="G52" s="143"/>
      <c r="H52" s="177">
        <f t="shared" si="17"/>
        <v>3.7242912729294052E-2</v>
      </c>
      <c r="I52" s="178">
        <f t="shared" si="18"/>
        <v>134</v>
      </c>
      <c r="J52" s="142"/>
      <c r="K52" s="143"/>
    </row>
    <row r="53" spans="1:44" ht="15" customHeight="1" x14ac:dyDescent="0.2">
      <c r="E53" s="121"/>
      <c r="F53" s="121"/>
      <c r="G53" s="143"/>
      <c r="H53" s="182"/>
      <c r="I53" s="182"/>
      <c r="J53" s="147"/>
      <c r="K53" s="143"/>
    </row>
    <row r="54" spans="1:44" ht="15" customHeight="1" x14ac:dyDescent="0.2">
      <c r="A54" s="112">
        <v>3</v>
      </c>
      <c r="B54" s="112" t="s">
        <v>33</v>
      </c>
      <c r="C54" s="101" t="s">
        <v>64</v>
      </c>
      <c r="D54" s="101" t="s">
        <v>136</v>
      </c>
      <c r="E54" s="120">
        <v>1045</v>
      </c>
      <c r="F54" s="119">
        <f>1185</f>
        <v>1185</v>
      </c>
      <c r="G54" s="143"/>
      <c r="H54" s="177">
        <f t="shared" ref="H54:H57" si="20">IF(E54=0,"",(F54-E54)/E54)</f>
        <v>0.13397129186602871</v>
      </c>
      <c r="I54" s="178">
        <f t="shared" ref="I54:I57" si="21">+F54-E54</f>
        <v>140</v>
      </c>
      <c r="J54" s="142"/>
      <c r="K54" s="143"/>
    </row>
    <row r="55" spans="1:44" ht="15" customHeight="1" x14ac:dyDescent="0.2">
      <c r="A55" s="112"/>
      <c r="B55" s="112"/>
      <c r="C55" s="101" t="s">
        <v>50</v>
      </c>
      <c r="D55" s="101" t="s">
        <v>137</v>
      </c>
      <c r="E55" s="120">
        <v>534</v>
      </c>
      <c r="F55" s="119">
        <v>602</v>
      </c>
      <c r="G55" s="143"/>
      <c r="H55" s="177">
        <f t="shared" si="20"/>
        <v>0.12734082397003746</v>
      </c>
      <c r="I55" s="178">
        <f t="shared" si="21"/>
        <v>68</v>
      </c>
      <c r="J55" s="142"/>
      <c r="K55" s="143"/>
    </row>
    <row r="56" spans="1:44" ht="15" customHeight="1" thickBot="1" x14ac:dyDescent="0.25">
      <c r="A56" s="112"/>
      <c r="B56" s="112"/>
      <c r="C56" s="101" t="s">
        <v>52</v>
      </c>
      <c r="D56" s="101" t="s">
        <v>138</v>
      </c>
      <c r="E56" s="168">
        <v>0</v>
      </c>
      <c r="F56" s="134">
        <v>0</v>
      </c>
      <c r="G56" s="143"/>
      <c r="H56" s="177" t="str">
        <f t="shared" si="20"/>
        <v/>
      </c>
      <c r="I56" s="178">
        <f t="shared" si="21"/>
        <v>0</v>
      </c>
      <c r="J56" s="142"/>
      <c r="K56" s="143"/>
    </row>
    <row r="57" spans="1:44" ht="15" customHeight="1" thickBot="1" x14ac:dyDescent="0.25">
      <c r="A57" s="112"/>
      <c r="B57" s="112" t="s">
        <v>139</v>
      </c>
      <c r="E57" s="158">
        <f>SUM(E54:E56)</f>
        <v>1579</v>
      </c>
      <c r="F57" s="158">
        <f t="shared" ref="F57" si="22">SUM(F54:F56)</f>
        <v>1787</v>
      </c>
      <c r="G57" s="143"/>
      <c r="H57" s="177">
        <f t="shared" si="20"/>
        <v>0.1317289423685877</v>
      </c>
      <c r="I57" s="178">
        <f t="shared" si="21"/>
        <v>208</v>
      </c>
      <c r="J57" s="142"/>
      <c r="K57" s="143"/>
    </row>
    <row r="58" spans="1:44" ht="15" customHeight="1" x14ac:dyDescent="0.2">
      <c r="B58" s="112"/>
      <c r="C58" s="112"/>
      <c r="D58" s="112"/>
      <c r="E58" s="121"/>
      <c r="F58" s="121"/>
      <c r="G58" s="143"/>
      <c r="H58" s="182"/>
      <c r="I58" s="182"/>
      <c r="J58" s="147"/>
      <c r="K58" s="143"/>
    </row>
    <row r="59" spans="1:44" s="130" customFormat="1" ht="15" customHeight="1" x14ac:dyDescent="0.2">
      <c r="A59" s="113">
        <v>4</v>
      </c>
      <c r="B59" s="113" t="s">
        <v>140</v>
      </c>
      <c r="C59" s="130" t="s">
        <v>64</v>
      </c>
      <c r="D59" s="159" t="s">
        <v>141</v>
      </c>
      <c r="E59" s="120">
        <v>0</v>
      </c>
      <c r="F59" s="119">
        <v>0</v>
      </c>
      <c r="G59" s="143"/>
      <c r="H59" s="177" t="str">
        <f t="shared" ref="H59:H64" si="23">IF(E59=0,"",(F59-E59)/E59)</f>
        <v/>
      </c>
      <c r="I59" s="178">
        <f t="shared" ref="I59:I64" si="24">+F59-E59</f>
        <v>0</v>
      </c>
      <c r="J59" s="142"/>
      <c r="K59" s="143"/>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row>
    <row r="60" spans="1:44" s="130" customFormat="1" ht="15" customHeight="1" x14ac:dyDescent="0.2">
      <c r="A60" s="113"/>
      <c r="B60" s="113"/>
      <c r="C60" s="130" t="s">
        <v>50</v>
      </c>
      <c r="D60" s="159" t="s">
        <v>142</v>
      </c>
      <c r="E60" s="168">
        <v>0</v>
      </c>
      <c r="F60" s="134">
        <v>0</v>
      </c>
      <c r="G60" s="143"/>
      <c r="H60" s="177" t="str">
        <f t="shared" si="23"/>
        <v/>
      </c>
      <c r="I60" s="178">
        <f t="shared" si="24"/>
        <v>0</v>
      </c>
      <c r="J60" s="142"/>
      <c r="K60" s="143"/>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row>
    <row r="61" spans="1:44" ht="15" customHeight="1" x14ac:dyDescent="0.2">
      <c r="C61" s="101" t="s">
        <v>50</v>
      </c>
      <c r="D61" s="101" t="s">
        <v>61</v>
      </c>
      <c r="E61" s="168">
        <v>1</v>
      </c>
      <c r="F61" s="134">
        <v>1</v>
      </c>
      <c r="G61" s="143"/>
      <c r="H61" s="177">
        <f t="shared" si="23"/>
        <v>0</v>
      </c>
      <c r="I61" s="178">
        <f t="shared" si="24"/>
        <v>0</v>
      </c>
      <c r="J61" s="142"/>
      <c r="K61" s="143"/>
    </row>
    <row r="62" spans="1:44" ht="15" customHeight="1" x14ac:dyDescent="0.2">
      <c r="C62" s="101" t="s">
        <v>52</v>
      </c>
      <c r="D62" s="106" t="s">
        <v>143</v>
      </c>
      <c r="E62" s="184"/>
      <c r="F62" s="184"/>
      <c r="G62" s="143"/>
      <c r="H62" s="177" t="str">
        <f t="shared" si="23"/>
        <v/>
      </c>
      <c r="I62" s="178">
        <f t="shared" si="24"/>
        <v>0</v>
      </c>
      <c r="J62" s="142"/>
      <c r="K62" s="143"/>
    </row>
    <row r="63" spans="1:44" ht="15" customHeight="1" thickBot="1" x14ac:dyDescent="0.25">
      <c r="C63" s="101" t="s">
        <v>54</v>
      </c>
      <c r="D63" s="106" t="s">
        <v>144</v>
      </c>
      <c r="E63" s="168">
        <v>0</v>
      </c>
      <c r="F63" s="134">
        <v>0</v>
      </c>
      <c r="G63" s="143"/>
      <c r="H63" s="177" t="str">
        <f t="shared" si="23"/>
        <v/>
      </c>
      <c r="I63" s="178">
        <f t="shared" si="24"/>
        <v>0</v>
      </c>
      <c r="J63" s="142"/>
      <c r="K63" s="143"/>
    </row>
    <row r="64" spans="1:44" ht="15" customHeight="1" thickBot="1" x14ac:dyDescent="0.25">
      <c r="B64" s="112" t="s">
        <v>145</v>
      </c>
      <c r="E64" s="158">
        <f>SUM(E59:E63)</f>
        <v>1</v>
      </c>
      <c r="F64" s="158">
        <f t="shared" ref="F64" si="25">SUM(F59:F63)</f>
        <v>1</v>
      </c>
      <c r="G64" s="143"/>
      <c r="H64" s="177">
        <f t="shared" si="23"/>
        <v>0</v>
      </c>
      <c r="I64" s="178">
        <f t="shared" si="24"/>
        <v>0</v>
      </c>
      <c r="J64" s="142"/>
      <c r="K64" s="143"/>
    </row>
    <row r="65" spans="1:10" x14ac:dyDescent="0.2">
      <c r="B65" s="112"/>
      <c r="C65" s="112"/>
      <c r="D65" s="112"/>
      <c r="J65" s="160"/>
    </row>
    <row r="66" spans="1:10" ht="45.6" customHeight="1" x14ac:dyDescent="0.2">
      <c r="A66" s="161" t="s">
        <v>146</v>
      </c>
      <c r="B66" s="339" t="s">
        <v>147</v>
      </c>
      <c r="C66" s="340"/>
      <c r="D66" s="340"/>
      <c r="J66" s="160"/>
    </row>
    <row r="67" spans="1:10" x14ac:dyDescent="0.2">
      <c r="J67" s="160"/>
    </row>
    <row r="68" spans="1:10" x14ac:dyDescent="0.2">
      <c r="J68" s="160"/>
    </row>
    <row r="69" spans="1:10" x14ac:dyDescent="0.2">
      <c r="J69" s="160"/>
    </row>
    <row r="70" spans="1:10" x14ac:dyDescent="0.2">
      <c r="J70" s="160"/>
    </row>
    <row r="71" spans="1:10" x14ac:dyDescent="0.2">
      <c r="J71" s="160"/>
    </row>
    <row r="72" spans="1:10" x14ac:dyDescent="0.2">
      <c r="J72" s="160"/>
    </row>
    <row r="73" spans="1:10" x14ac:dyDescent="0.2">
      <c r="J73" s="160"/>
    </row>
    <row r="74" spans="1:10" x14ac:dyDescent="0.2">
      <c r="J74" s="160"/>
    </row>
    <row r="75" spans="1:10" x14ac:dyDescent="0.2">
      <c r="J75" s="160"/>
    </row>
    <row r="76" spans="1:10" x14ac:dyDescent="0.2">
      <c r="J76" s="160"/>
    </row>
    <row r="77" spans="1:10" x14ac:dyDescent="0.2">
      <c r="J77" s="160"/>
    </row>
  </sheetData>
  <sheetProtection algorithmName="SHA-512" hashValue="3JCK9hjFJZ+13h4LFi7wsY+ZsWCsGaIns+/PQK2t5gBWPfRJFouD52KnqlyIbM7dwUA/Kp7OW5b/8a5LStQGNQ==" saltValue="guCaDSTRs8Fps8uuRtS8vg==" spinCount="100000" sheet="1" formatRows="0"/>
  <mergeCells count="1">
    <mergeCell ref="B66:D66"/>
  </mergeCells>
  <conditionalFormatting sqref="H7:I19">
    <cfRule type="expression" dxfId="10" priority="19" stopIfTrue="1">
      <formula>#REF!&gt;0</formula>
    </cfRule>
    <cfRule type="expression" dxfId="9" priority="20" stopIfTrue="1">
      <formula>"m7&gt;0"</formula>
    </cfRule>
  </conditionalFormatting>
  <conditionalFormatting sqref="H17:I17 G20:I21 H30:I30 G32:I32">
    <cfRule type="expression" dxfId="8" priority="26" stopIfTrue="1">
      <formula>"m7&gt;0"</formula>
    </cfRule>
  </conditionalFormatting>
  <conditionalFormatting sqref="H17:I17 H30:I30 G20:I21 G32:I32">
    <cfRule type="expression" dxfId="7" priority="25" stopIfTrue="1">
      <formula>#REF!&gt;0</formula>
    </cfRule>
  </conditionalFormatting>
  <conditionalFormatting sqref="H22:I31">
    <cfRule type="expression" dxfId="6" priority="1" stopIfTrue="1">
      <formula>#REF!&gt;0</formula>
    </cfRule>
    <cfRule type="expression" dxfId="5" priority="2" stopIfTrue="1">
      <formula>"m7&gt;0"</formula>
    </cfRule>
  </conditionalFormatting>
  <conditionalFormatting sqref="H33:I64">
    <cfRule type="expression" dxfId="4" priority="5" stopIfTrue="1">
      <formula>#REF!&gt;0</formula>
    </cfRule>
    <cfRule type="expression" dxfId="3" priority="6" stopIfTrue="1">
      <formula>"m7&gt;0"</formula>
    </cfRule>
  </conditionalFormatting>
  <dataValidations count="1">
    <dataValidation type="whole" allowBlank="1" showInputMessage="1" showErrorMessage="1" sqref="E54:F57 E7:F15 E18:F18 E59:F63 E36:F51" xr:uid="{00000000-0002-0000-0300-000000000000}">
      <formula1>-1E+30</formula1>
      <formula2>1E+30</formula2>
    </dataValidation>
  </dataValidations>
  <pageMargins left="0.75" right="0.68" top="0.68" bottom="0.7" header="0.5" footer="0.5"/>
  <pageSetup paperSize="8"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1E69-3358-4C18-9A44-677245D1108F}">
  <sheetPr>
    <pageSetUpPr fitToPage="1"/>
  </sheetPr>
  <dimension ref="A1:E225"/>
  <sheetViews>
    <sheetView showGridLines="0" tabSelected="1" topLeftCell="A9" zoomScale="110" zoomScaleNormal="110" workbookViewId="0">
      <selection activeCell="J25" sqref="J25"/>
    </sheetView>
  </sheetViews>
  <sheetFormatPr defaultColWidth="9.42578125" defaultRowHeight="12.75" customHeight="1" x14ac:dyDescent="0.2"/>
  <cols>
    <col min="1" max="1" width="9.42578125" style="1"/>
    <col min="2" max="2" width="67.42578125" style="1" customWidth="1"/>
    <col min="3" max="4" width="8.140625" style="1" customWidth="1"/>
    <col min="5" max="5" width="3.42578125" style="1" customWidth="1"/>
    <col min="6" max="16384" width="9.42578125" style="1"/>
  </cols>
  <sheetData>
    <row r="1" spans="1:5" x14ac:dyDescent="0.2">
      <c r="A1" s="309" t="str">
        <f>Declaration!C3</f>
        <v>South Lanarkshire College</v>
      </c>
      <c r="D1" s="310"/>
      <c r="E1" s="310"/>
    </row>
    <row r="2" spans="1:5" x14ac:dyDescent="0.2">
      <c r="A2" s="309"/>
      <c r="D2" s="310"/>
      <c r="E2" s="310"/>
    </row>
    <row r="3" spans="1:5" ht="24" x14ac:dyDescent="0.2">
      <c r="A3" s="309"/>
      <c r="C3" s="311" t="str">
        <f>SOCIE!D3</f>
        <v>FFR     2024-25</v>
      </c>
      <c r="D3" s="311" t="str">
        <f>SOCIE!E3</f>
        <v>MYR    2024-25</v>
      </c>
      <c r="E3" s="310"/>
    </row>
    <row r="4" spans="1:5" x14ac:dyDescent="0.2">
      <c r="A4" s="312"/>
      <c r="B4" s="313" t="s">
        <v>148</v>
      </c>
      <c r="C4" s="314" t="s">
        <v>149</v>
      </c>
      <c r="D4" s="314" t="s">
        <v>149</v>
      </c>
      <c r="E4" s="310"/>
    </row>
    <row r="5" spans="1:5" x14ac:dyDescent="0.2">
      <c r="A5" s="312"/>
      <c r="B5" s="315"/>
      <c r="C5" s="310"/>
      <c r="D5" s="310"/>
      <c r="E5" s="310"/>
    </row>
    <row r="6" spans="1:5" x14ac:dyDescent="0.2">
      <c r="A6" s="316">
        <v>1</v>
      </c>
      <c r="B6" s="315" t="s">
        <v>150</v>
      </c>
      <c r="C6" s="322">
        <v>3</v>
      </c>
      <c r="D6" s="322">
        <v>0</v>
      </c>
      <c r="E6" s="310"/>
    </row>
    <row r="7" spans="1:5" ht="28.5" customHeight="1" x14ac:dyDescent="0.2">
      <c r="A7" s="312"/>
      <c r="B7" s="317" t="s">
        <v>151</v>
      </c>
      <c r="C7" s="322">
        <v>19</v>
      </c>
      <c r="D7" s="322">
        <v>38</v>
      </c>
      <c r="E7" s="310"/>
    </row>
    <row r="8" spans="1:5" ht="28.5" customHeight="1" x14ac:dyDescent="0.2">
      <c r="A8" s="312"/>
      <c r="B8" s="317" t="s">
        <v>152</v>
      </c>
      <c r="C8" s="322">
        <v>0</v>
      </c>
      <c r="D8" s="322">
        <v>0</v>
      </c>
      <c r="E8" s="310"/>
    </row>
    <row r="9" spans="1:5" ht="13.5" thickBot="1" x14ac:dyDescent="0.25">
      <c r="A9" s="312"/>
      <c r="B9" s="313" t="s">
        <v>153</v>
      </c>
      <c r="C9" s="318">
        <f>SUM(C6:C8)</f>
        <v>22</v>
      </c>
      <c r="D9" s="318">
        <f>SUM(D6:D8)</f>
        <v>38</v>
      </c>
      <c r="E9" s="310"/>
    </row>
    <row r="10" spans="1:5" ht="13.5" thickTop="1" x14ac:dyDescent="0.2">
      <c r="A10" s="312"/>
      <c r="B10" s="315"/>
      <c r="C10" s="320"/>
      <c r="D10" s="320"/>
      <c r="E10" s="310"/>
    </row>
    <row r="11" spans="1:5" x14ac:dyDescent="0.2">
      <c r="A11" s="312"/>
      <c r="B11" s="315"/>
      <c r="C11" s="321" t="s">
        <v>15</v>
      </c>
      <c r="D11" s="321" t="s">
        <v>15</v>
      </c>
      <c r="E11" s="310"/>
    </row>
    <row r="12" spans="1:5" x14ac:dyDescent="0.2">
      <c r="A12" s="312"/>
      <c r="B12" s="315"/>
      <c r="C12" s="315"/>
      <c r="D12" s="315"/>
      <c r="E12" s="310"/>
    </row>
    <row r="13" spans="1:5" x14ac:dyDescent="0.2">
      <c r="A13" s="312">
        <v>2</v>
      </c>
      <c r="B13" s="315" t="s">
        <v>154</v>
      </c>
      <c r="C13" s="322">
        <v>1100</v>
      </c>
      <c r="D13" s="322">
        <v>1325</v>
      </c>
      <c r="E13" s="310"/>
    </row>
    <row r="14" spans="1:5" x14ac:dyDescent="0.2">
      <c r="A14" s="312"/>
      <c r="B14" s="315" t="s">
        <v>155</v>
      </c>
      <c r="C14" s="322">
        <v>0</v>
      </c>
      <c r="D14" s="322">
        <v>0</v>
      </c>
      <c r="E14" s="310"/>
    </row>
    <row r="15" spans="1:5" ht="13.5" thickBot="1" x14ac:dyDescent="0.25">
      <c r="A15" s="312"/>
      <c r="B15" s="313" t="s">
        <v>156</v>
      </c>
      <c r="C15" s="319">
        <f>SUM(C13:C14)</f>
        <v>1100</v>
      </c>
      <c r="D15" s="319">
        <f>SUM(D13:D14)</f>
        <v>1325</v>
      </c>
      <c r="E15" s="310"/>
    </row>
    <row r="16" spans="1:5" ht="13.5" thickTop="1" x14ac:dyDescent="0.2">
      <c r="A16" s="312"/>
      <c r="B16" s="313"/>
      <c r="C16" s="320"/>
      <c r="D16" s="320"/>
      <c r="E16" s="310"/>
    </row>
    <row r="17" spans="1:5" x14ac:dyDescent="0.2">
      <c r="A17" s="312"/>
      <c r="B17" s="310" t="s">
        <v>157</v>
      </c>
      <c r="C17" s="323">
        <f>SOCIE!D19</f>
        <v>1100</v>
      </c>
      <c r="D17" s="323">
        <f>SOCIE!E19</f>
        <v>1325</v>
      </c>
      <c r="E17" s="310"/>
    </row>
    <row r="18" spans="1:5" x14ac:dyDescent="0.2">
      <c r="A18" s="312"/>
      <c r="B18" s="310"/>
      <c r="C18" s="324"/>
      <c r="D18" s="324"/>
      <c r="E18" s="310"/>
    </row>
    <row r="19" spans="1:5" x14ac:dyDescent="0.2">
      <c r="A19" s="312"/>
      <c r="B19" s="310"/>
      <c r="C19" s="324"/>
      <c r="D19" s="324"/>
      <c r="E19" s="310"/>
    </row>
    <row r="20" spans="1:5" x14ac:dyDescent="0.2">
      <c r="A20" s="312">
        <v>3</v>
      </c>
      <c r="B20" s="279" t="s">
        <v>158</v>
      </c>
      <c r="C20" s="322">
        <v>0</v>
      </c>
      <c r="D20" s="322">
        <v>0</v>
      </c>
      <c r="E20" s="310"/>
    </row>
    <row r="21" spans="1:5" x14ac:dyDescent="0.2">
      <c r="A21" s="312"/>
      <c r="B21" s="310"/>
      <c r="C21" s="324"/>
      <c r="D21" s="324"/>
      <c r="E21" s="310"/>
    </row>
    <row r="22" spans="1:5" ht="18" customHeight="1" x14ac:dyDescent="0.2">
      <c r="A22" s="325">
        <v>4</v>
      </c>
      <c r="B22" s="341" t="s">
        <v>159</v>
      </c>
      <c r="C22" s="341"/>
      <c r="D22" s="341"/>
      <c r="E22" s="310"/>
    </row>
    <row r="23" spans="1:5" ht="8.85" customHeight="1" x14ac:dyDescent="0.2">
      <c r="A23" s="325"/>
      <c r="B23" s="326"/>
      <c r="C23" s="326"/>
      <c r="D23" s="326"/>
      <c r="E23" s="310"/>
    </row>
    <row r="24" spans="1:5" ht="18" customHeight="1" x14ac:dyDescent="0.25">
      <c r="A24" s="325" t="s">
        <v>160</v>
      </c>
      <c r="B24" s="342" t="s">
        <v>161</v>
      </c>
      <c r="C24" s="343"/>
      <c r="D24" s="343"/>
      <c r="E24" s="329"/>
    </row>
    <row r="25" spans="1:5" ht="192" customHeight="1" x14ac:dyDescent="0.2">
      <c r="A25" s="325"/>
      <c r="B25" s="344" t="s">
        <v>377</v>
      </c>
      <c r="C25" s="345"/>
      <c r="D25" s="345"/>
      <c r="E25" s="330"/>
    </row>
    <row r="26" spans="1:5" customFormat="1" ht="17.850000000000001" customHeight="1" x14ac:dyDescent="0.2">
      <c r="A26" s="325"/>
      <c r="B26" s="327"/>
      <c r="C26" s="327"/>
      <c r="D26" s="327"/>
    </row>
    <row r="27" spans="1:5" ht="18" customHeight="1" x14ac:dyDescent="0.25">
      <c r="A27" s="325" t="s">
        <v>162</v>
      </c>
      <c r="B27" s="342" t="s">
        <v>163</v>
      </c>
      <c r="C27" s="343"/>
      <c r="D27" s="343"/>
      <c r="E27" s="330"/>
    </row>
    <row r="28" spans="1:5" ht="192" customHeight="1" x14ac:dyDescent="0.2">
      <c r="A28" s="328"/>
      <c r="B28" s="344"/>
      <c r="C28" s="345"/>
      <c r="D28" s="345"/>
      <c r="E28" s="330"/>
    </row>
    <row r="29" spans="1:5" x14ac:dyDescent="0.2">
      <c r="A29" s="328"/>
    </row>
    <row r="30" spans="1:5" x14ac:dyDescent="0.2">
      <c r="A30" s="328"/>
    </row>
    <row r="31" spans="1:5" x14ac:dyDescent="0.2">
      <c r="A31" s="328"/>
    </row>
    <row r="32" spans="1:5" x14ac:dyDescent="0.2">
      <c r="A32" s="328"/>
    </row>
    <row r="33" spans="1:1" x14ac:dyDescent="0.2">
      <c r="A33" s="328"/>
    </row>
    <row r="34" spans="1:1" x14ac:dyDescent="0.2">
      <c r="A34" s="328"/>
    </row>
    <row r="35" spans="1:1" x14ac:dyDescent="0.2">
      <c r="A35" s="328"/>
    </row>
    <row r="36" spans="1:1" x14ac:dyDescent="0.2">
      <c r="A36" s="328"/>
    </row>
    <row r="37" spans="1:1" x14ac:dyDescent="0.2">
      <c r="A37" s="328"/>
    </row>
    <row r="38" spans="1:1" x14ac:dyDescent="0.2">
      <c r="A38" s="328"/>
    </row>
    <row r="39" spans="1:1" x14ac:dyDescent="0.2">
      <c r="A39" s="328"/>
    </row>
    <row r="40" spans="1:1" x14ac:dyDescent="0.2">
      <c r="A40" s="328"/>
    </row>
    <row r="41" spans="1:1" x14ac:dyDescent="0.2">
      <c r="A41" s="328"/>
    </row>
    <row r="42" spans="1:1" x14ac:dyDescent="0.2">
      <c r="A42" s="328"/>
    </row>
    <row r="43" spans="1:1" x14ac:dyDescent="0.2">
      <c r="A43" s="328"/>
    </row>
    <row r="44" spans="1:1" x14ac:dyDescent="0.2">
      <c r="A44" s="328"/>
    </row>
    <row r="45" spans="1:1" x14ac:dyDescent="0.2">
      <c r="A45" s="328"/>
    </row>
    <row r="46" spans="1:1" x14ac:dyDescent="0.2">
      <c r="A46" s="328"/>
    </row>
    <row r="47" spans="1:1" x14ac:dyDescent="0.2">
      <c r="A47" s="328"/>
    </row>
    <row r="48" spans="1:1" x14ac:dyDescent="0.2">
      <c r="A48" s="328"/>
    </row>
    <row r="49" spans="1:1" x14ac:dyDescent="0.2">
      <c r="A49" s="328"/>
    </row>
    <row r="50" spans="1:1" x14ac:dyDescent="0.2">
      <c r="A50" s="328"/>
    </row>
    <row r="51" spans="1:1" x14ac:dyDescent="0.2">
      <c r="A51" s="328"/>
    </row>
    <row r="52" spans="1:1" x14ac:dyDescent="0.2">
      <c r="A52" s="328"/>
    </row>
    <row r="53" spans="1:1" x14ac:dyDescent="0.2">
      <c r="A53" s="328"/>
    </row>
    <row r="54" spans="1:1" x14ac:dyDescent="0.2">
      <c r="A54" s="328"/>
    </row>
    <row r="55" spans="1:1" x14ac:dyDescent="0.2">
      <c r="A55" s="328"/>
    </row>
    <row r="56" spans="1:1" x14ac:dyDescent="0.2">
      <c r="A56" s="328"/>
    </row>
    <row r="57" spans="1:1" x14ac:dyDescent="0.2">
      <c r="A57" s="328"/>
    </row>
    <row r="58" spans="1:1" x14ac:dyDescent="0.2">
      <c r="A58" s="328"/>
    </row>
    <row r="59" spans="1:1" x14ac:dyDescent="0.2">
      <c r="A59" s="328"/>
    </row>
    <row r="60" spans="1:1" x14ac:dyDescent="0.2">
      <c r="A60" s="328"/>
    </row>
    <row r="61" spans="1:1" x14ac:dyDescent="0.2">
      <c r="A61" s="328"/>
    </row>
    <row r="62" spans="1:1" x14ac:dyDescent="0.2">
      <c r="A62" s="328"/>
    </row>
    <row r="63" spans="1:1" x14ac:dyDescent="0.2">
      <c r="A63" s="328"/>
    </row>
    <row r="64" spans="1:1" x14ac:dyDescent="0.2">
      <c r="A64" s="328"/>
    </row>
    <row r="65" spans="1:1" x14ac:dyDescent="0.2">
      <c r="A65" s="328"/>
    </row>
    <row r="66" spans="1:1" x14ac:dyDescent="0.2">
      <c r="A66" s="328"/>
    </row>
    <row r="67" spans="1:1" x14ac:dyDescent="0.2">
      <c r="A67" s="328"/>
    </row>
    <row r="68" spans="1:1" x14ac:dyDescent="0.2">
      <c r="A68" s="328"/>
    </row>
    <row r="69" spans="1:1" x14ac:dyDescent="0.2">
      <c r="A69" s="328"/>
    </row>
    <row r="70" spans="1:1" x14ac:dyDescent="0.2">
      <c r="A70" s="328"/>
    </row>
    <row r="71" spans="1:1" x14ac:dyDescent="0.2">
      <c r="A71" s="328"/>
    </row>
    <row r="72" spans="1:1" x14ac:dyDescent="0.2">
      <c r="A72" s="328"/>
    </row>
    <row r="73" spans="1:1" x14ac:dyDescent="0.2">
      <c r="A73" s="328"/>
    </row>
    <row r="74" spans="1:1" x14ac:dyDescent="0.2">
      <c r="A74" s="328"/>
    </row>
    <row r="75" spans="1:1" x14ac:dyDescent="0.2">
      <c r="A75" s="328"/>
    </row>
    <row r="76" spans="1:1" x14ac:dyDescent="0.2">
      <c r="A76" s="328"/>
    </row>
    <row r="77" spans="1:1" x14ac:dyDescent="0.2">
      <c r="A77" s="328"/>
    </row>
    <row r="78" spans="1:1" x14ac:dyDescent="0.2">
      <c r="A78" s="328"/>
    </row>
    <row r="79" spans="1:1" x14ac:dyDescent="0.2">
      <c r="A79" s="328"/>
    </row>
    <row r="80" spans="1:1" x14ac:dyDescent="0.2">
      <c r="A80" s="328"/>
    </row>
    <row r="81" spans="1:1" x14ac:dyDescent="0.2">
      <c r="A81" s="328"/>
    </row>
    <row r="82" spans="1:1" x14ac:dyDescent="0.2">
      <c r="A82" s="328"/>
    </row>
    <row r="83" spans="1:1" x14ac:dyDescent="0.2">
      <c r="A83" s="328"/>
    </row>
    <row r="84" spans="1:1" x14ac:dyDescent="0.2">
      <c r="A84" s="328"/>
    </row>
    <row r="85" spans="1:1" x14ac:dyDescent="0.2">
      <c r="A85" s="328"/>
    </row>
    <row r="86" spans="1:1" x14ac:dyDescent="0.2">
      <c r="A86" s="328"/>
    </row>
    <row r="87" spans="1:1" x14ac:dyDescent="0.2">
      <c r="A87" s="328"/>
    </row>
    <row r="88" spans="1:1" x14ac:dyDescent="0.2">
      <c r="A88" s="328"/>
    </row>
    <row r="89" spans="1:1" x14ac:dyDescent="0.2">
      <c r="A89" s="328"/>
    </row>
    <row r="90" spans="1:1" x14ac:dyDescent="0.2">
      <c r="A90" s="328"/>
    </row>
    <row r="91" spans="1:1" x14ac:dyDescent="0.2">
      <c r="A91" s="328"/>
    </row>
    <row r="92" spans="1:1" x14ac:dyDescent="0.2">
      <c r="A92" s="328"/>
    </row>
    <row r="93" spans="1:1" x14ac:dyDescent="0.2">
      <c r="A93" s="328"/>
    </row>
    <row r="94" spans="1:1" x14ac:dyDescent="0.2">
      <c r="A94" s="328"/>
    </row>
    <row r="95" spans="1:1" x14ac:dyDescent="0.2">
      <c r="A95" s="328"/>
    </row>
    <row r="96" spans="1:1" x14ac:dyDescent="0.2">
      <c r="A96" s="328"/>
    </row>
    <row r="97" spans="1:1" x14ac:dyDescent="0.2">
      <c r="A97" s="328"/>
    </row>
    <row r="98" spans="1:1" x14ac:dyDescent="0.2">
      <c r="A98" s="328"/>
    </row>
    <row r="99" spans="1:1" x14ac:dyDescent="0.2">
      <c r="A99" s="328"/>
    </row>
    <row r="100" spans="1:1" x14ac:dyDescent="0.2">
      <c r="A100" s="328"/>
    </row>
    <row r="101" spans="1:1" x14ac:dyDescent="0.2">
      <c r="A101" s="328"/>
    </row>
    <row r="102" spans="1:1" x14ac:dyDescent="0.2">
      <c r="A102" s="328"/>
    </row>
    <row r="103" spans="1:1" x14ac:dyDescent="0.2">
      <c r="A103" s="328"/>
    </row>
    <row r="104" spans="1:1" x14ac:dyDescent="0.2">
      <c r="A104" s="328"/>
    </row>
    <row r="105" spans="1:1" x14ac:dyDescent="0.2">
      <c r="A105" s="328"/>
    </row>
    <row r="106" spans="1:1" x14ac:dyDescent="0.2">
      <c r="A106" s="328"/>
    </row>
    <row r="107" spans="1:1" x14ac:dyDescent="0.2">
      <c r="A107" s="328"/>
    </row>
    <row r="108" spans="1:1" x14ac:dyDescent="0.2">
      <c r="A108" s="328"/>
    </row>
    <row r="109" spans="1:1" x14ac:dyDescent="0.2">
      <c r="A109" s="328"/>
    </row>
    <row r="110" spans="1:1" x14ac:dyDescent="0.2">
      <c r="A110" s="328"/>
    </row>
    <row r="111" spans="1:1" x14ac:dyDescent="0.2">
      <c r="A111" s="328"/>
    </row>
    <row r="112" spans="1:1" x14ac:dyDescent="0.2">
      <c r="A112" s="328"/>
    </row>
    <row r="113" spans="1:1" x14ac:dyDescent="0.2">
      <c r="A113" s="328"/>
    </row>
    <row r="114" spans="1:1" x14ac:dyDescent="0.2">
      <c r="A114" s="328"/>
    </row>
    <row r="115" spans="1:1" x14ac:dyDescent="0.2">
      <c r="A115" s="328"/>
    </row>
    <row r="116" spans="1:1" x14ac:dyDescent="0.2">
      <c r="A116" s="328"/>
    </row>
    <row r="117" spans="1:1" x14ac:dyDescent="0.2">
      <c r="A117" s="328"/>
    </row>
    <row r="118" spans="1:1" x14ac:dyDescent="0.2">
      <c r="A118" s="328"/>
    </row>
    <row r="119" spans="1:1" x14ac:dyDescent="0.2">
      <c r="A119" s="328"/>
    </row>
    <row r="120" spans="1:1" x14ac:dyDescent="0.2">
      <c r="A120" s="328"/>
    </row>
    <row r="121" spans="1:1" x14ac:dyDescent="0.2">
      <c r="A121" s="328"/>
    </row>
    <row r="122" spans="1:1" x14ac:dyDescent="0.2">
      <c r="A122" s="328"/>
    </row>
    <row r="123" spans="1:1" x14ac:dyDescent="0.2">
      <c r="A123" s="328"/>
    </row>
    <row r="124" spans="1:1" x14ac:dyDescent="0.2">
      <c r="A124" s="328"/>
    </row>
    <row r="125" spans="1:1" x14ac:dyDescent="0.2">
      <c r="A125" s="328"/>
    </row>
    <row r="126" spans="1:1" x14ac:dyDescent="0.2">
      <c r="A126" s="328"/>
    </row>
    <row r="127" spans="1:1" x14ac:dyDescent="0.2">
      <c r="A127" s="328"/>
    </row>
    <row r="128" spans="1:1" x14ac:dyDescent="0.2">
      <c r="A128" s="328"/>
    </row>
    <row r="129" spans="1:1" x14ac:dyDescent="0.2">
      <c r="A129" s="328"/>
    </row>
    <row r="130" spans="1:1" x14ac:dyDescent="0.2">
      <c r="A130" s="328"/>
    </row>
    <row r="131" spans="1:1" x14ac:dyDescent="0.2">
      <c r="A131" s="328"/>
    </row>
    <row r="132" spans="1:1" x14ac:dyDescent="0.2">
      <c r="A132" s="328"/>
    </row>
    <row r="133" spans="1:1" x14ac:dyDescent="0.2">
      <c r="A133" s="328"/>
    </row>
    <row r="134" spans="1:1" x14ac:dyDescent="0.2">
      <c r="A134" s="328"/>
    </row>
    <row r="135" spans="1:1" x14ac:dyDescent="0.2">
      <c r="A135" s="328"/>
    </row>
    <row r="136" spans="1:1" x14ac:dyDescent="0.2">
      <c r="A136" s="328"/>
    </row>
    <row r="137" spans="1:1" x14ac:dyDescent="0.2">
      <c r="A137" s="328"/>
    </row>
    <row r="138" spans="1:1" x14ac:dyDescent="0.2">
      <c r="A138" s="328"/>
    </row>
    <row r="139" spans="1:1" x14ac:dyDescent="0.2">
      <c r="A139" s="328"/>
    </row>
    <row r="140" spans="1:1" x14ac:dyDescent="0.2">
      <c r="A140" s="328"/>
    </row>
    <row r="141" spans="1:1" x14ac:dyDescent="0.2">
      <c r="A141" s="328"/>
    </row>
    <row r="142" spans="1:1" x14ac:dyDescent="0.2">
      <c r="A142" s="328"/>
    </row>
    <row r="143" spans="1:1" x14ac:dyDescent="0.2">
      <c r="A143" s="328"/>
    </row>
    <row r="144" spans="1:1" x14ac:dyDescent="0.2">
      <c r="A144" s="328"/>
    </row>
    <row r="145" spans="1:1" x14ac:dyDescent="0.2">
      <c r="A145" s="328"/>
    </row>
    <row r="146" spans="1:1" x14ac:dyDescent="0.2">
      <c r="A146" s="328"/>
    </row>
    <row r="147" spans="1:1" x14ac:dyDescent="0.2">
      <c r="A147" s="328"/>
    </row>
    <row r="148" spans="1:1" x14ac:dyDescent="0.2">
      <c r="A148" s="328"/>
    </row>
    <row r="149" spans="1:1" x14ac:dyDescent="0.2">
      <c r="A149" s="328"/>
    </row>
    <row r="150" spans="1:1" x14ac:dyDescent="0.2">
      <c r="A150" s="328"/>
    </row>
    <row r="151" spans="1:1" x14ac:dyDescent="0.2">
      <c r="A151" s="328"/>
    </row>
    <row r="152" spans="1:1" x14ac:dyDescent="0.2">
      <c r="A152" s="328"/>
    </row>
    <row r="153" spans="1:1" x14ac:dyDescent="0.2">
      <c r="A153" s="328"/>
    </row>
    <row r="154" spans="1:1" x14ac:dyDescent="0.2">
      <c r="A154" s="328"/>
    </row>
    <row r="155" spans="1:1" x14ac:dyDescent="0.2">
      <c r="A155" s="328"/>
    </row>
    <row r="156" spans="1:1" x14ac:dyDescent="0.2">
      <c r="A156" s="328"/>
    </row>
    <row r="157" spans="1:1" x14ac:dyDescent="0.2">
      <c r="A157" s="328"/>
    </row>
    <row r="158" spans="1:1" x14ac:dyDescent="0.2">
      <c r="A158" s="328"/>
    </row>
    <row r="159" spans="1:1" x14ac:dyDescent="0.2">
      <c r="A159" s="328"/>
    </row>
    <row r="160" spans="1:1" x14ac:dyDescent="0.2">
      <c r="A160" s="328"/>
    </row>
    <row r="161" spans="1:1" x14ac:dyDescent="0.2">
      <c r="A161" s="328"/>
    </row>
    <row r="162" spans="1:1" x14ac:dyDescent="0.2">
      <c r="A162" s="328"/>
    </row>
    <row r="163" spans="1:1" x14ac:dyDescent="0.2">
      <c r="A163" s="328"/>
    </row>
    <row r="164" spans="1:1" x14ac:dyDescent="0.2">
      <c r="A164" s="328"/>
    </row>
    <row r="165" spans="1:1" x14ac:dyDescent="0.2">
      <c r="A165" s="328"/>
    </row>
    <row r="166" spans="1:1" x14ac:dyDescent="0.2">
      <c r="A166" s="328"/>
    </row>
    <row r="167" spans="1:1" x14ac:dyDescent="0.2">
      <c r="A167" s="328"/>
    </row>
    <row r="168" spans="1:1" x14ac:dyDescent="0.2">
      <c r="A168" s="328"/>
    </row>
    <row r="169" spans="1:1" x14ac:dyDescent="0.2">
      <c r="A169" s="328"/>
    </row>
    <row r="170" spans="1:1" x14ac:dyDescent="0.2">
      <c r="A170" s="328"/>
    </row>
    <row r="171" spans="1:1" x14ac:dyDescent="0.2">
      <c r="A171" s="328"/>
    </row>
    <row r="172" spans="1:1" x14ac:dyDescent="0.2">
      <c r="A172" s="328"/>
    </row>
    <row r="173" spans="1:1" x14ac:dyDescent="0.2">
      <c r="A173" s="328"/>
    </row>
    <row r="174" spans="1:1" x14ac:dyDescent="0.2">
      <c r="A174" s="328"/>
    </row>
    <row r="175" spans="1:1" x14ac:dyDescent="0.2">
      <c r="A175" s="328"/>
    </row>
    <row r="176" spans="1:1" x14ac:dyDescent="0.2">
      <c r="A176" s="328"/>
    </row>
    <row r="177" spans="1:1" x14ac:dyDescent="0.2">
      <c r="A177" s="328"/>
    </row>
    <row r="178" spans="1:1" x14ac:dyDescent="0.2">
      <c r="A178" s="328"/>
    </row>
    <row r="179" spans="1:1" x14ac:dyDescent="0.2">
      <c r="A179" s="328"/>
    </row>
    <row r="180" spans="1:1" x14ac:dyDescent="0.2">
      <c r="A180" s="328"/>
    </row>
    <row r="181" spans="1:1" x14ac:dyDescent="0.2">
      <c r="A181" s="328"/>
    </row>
    <row r="182" spans="1:1" x14ac:dyDescent="0.2">
      <c r="A182" s="328"/>
    </row>
    <row r="183" spans="1:1" x14ac:dyDescent="0.2">
      <c r="A183" s="328"/>
    </row>
    <row r="184" spans="1:1" x14ac:dyDescent="0.2">
      <c r="A184" s="328"/>
    </row>
    <row r="185" spans="1:1" x14ac:dyDescent="0.2">
      <c r="A185" s="328"/>
    </row>
    <row r="186" spans="1:1" x14ac:dyDescent="0.2">
      <c r="A186" s="328"/>
    </row>
    <row r="187" spans="1:1" x14ac:dyDescent="0.2">
      <c r="A187" s="328"/>
    </row>
    <row r="188" spans="1:1" x14ac:dyDescent="0.2">
      <c r="A188" s="328"/>
    </row>
    <row r="189" spans="1:1" x14ac:dyDescent="0.2">
      <c r="A189" s="328"/>
    </row>
    <row r="190" spans="1:1" x14ac:dyDescent="0.2">
      <c r="A190" s="328"/>
    </row>
    <row r="191" spans="1:1" x14ac:dyDescent="0.2">
      <c r="A191" s="328"/>
    </row>
    <row r="192" spans="1:1" x14ac:dyDescent="0.2">
      <c r="A192" s="328"/>
    </row>
    <row r="193" spans="1:1" x14ac:dyDescent="0.2">
      <c r="A193" s="328"/>
    </row>
    <row r="194" spans="1:1" x14ac:dyDescent="0.2">
      <c r="A194" s="328"/>
    </row>
    <row r="195" spans="1:1" x14ac:dyDescent="0.2">
      <c r="A195" s="328"/>
    </row>
    <row r="196" spans="1:1" x14ac:dyDescent="0.2">
      <c r="A196" s="328"/>
    </row>
    <row r="197" spans="1:1" x14ac:dyDescent="0.2">
      <c r="A197" s="328"/>
    </row>
    <row r="198" spans="1:1" x14ac:dyDescent="0.2">
      <c r="A198" s="328"/>
    </row>
    <row r="199" spans="1:1" x14ac:dyDescent="0.2">
      <c r="A199" s="328"/>
    </row>
    <row r="200" spans="1:1" x14ac:dyDescent="0.2">
      <c r="A200" s="328"/>
    </row>
    <row r="201" spans="1:1" x14ac:dyDescent="0.2">
      <c r="A201" s="328"/>
    </row>
    <row r="202" spans="1:1" x14ac:dyDescent="0.2">
      <c r="A202" s="328"/>
    </row>
    <row r="203" spans="1:1" x14ac:dyDescent="0.2">
      <c r="A203" s="328"/>
    </row>
    <row r="204" spans="1:1" x14ac:dyDescent="0.2">
      <c r="A204" s="328"/>
    </row>
    <row r="205" spans="1:1" x14ac:dyDescent="0.2">
      <c r="A205" s="328"/>
    </row>
    <row r="206" spans="1:1" x14ac:dyDescent="0.2">
      <c r="A206" s="328"/>
    </row>
    <row r="207" spans="1:1" x14ac:dyDescent="0.2">
      <c r="A207" s="328"/>
    </row>
    <row r="208" spans="1:1" x14ac:dyDescent="0.2">
      <c r="A208" s="328"/>
    </row>
    <row r="209" spans="1:1" x14ac:dyDescent="0.2">
      <c r="A209" s="328"/>
    </row>
    <row r="210" spans="1:1" x14ac:dyDescent="0.2">
      <c r="A210" s="328"/>
    </row>
    <row r="211" spans="1:1" x14ac:dyDescent="0.2">
      <c r="A211" s="328"/>
    </row>
    <row r="212" spans="1:1" x14ac:dyDescent="0.2">
      <c r="A212" s="328"/>
    </row>
    <row r="213" spans="1:1" x14ac:dyDescent="0.2">
      <c r="A213" s="328"/>
    </row>
    <row r="214" spans="1:1" x14ac:dyDescent="0.2">
      <c r="A214" s="328"/>
    </row>
    <row r="215" spans="1:1" x14ac:dyDescent="0.2">
      <c r="A215" s="328"/>
    </row>
    <row r="216" spans="1:1" x14ac:dyDescent="0.2">
      <c r="A216" s="328"/>
    </row>
    <row r="217" spans="1:1" x14ac:dyDescent="0.2">
      <c r="A217" s="328"/>
    </row>
    <row r="218" spans="1:1" x14ac:dyDescent="0.2">
      <c r="A218" s="328"/>
    </row>
    <row r="219" spans="1:1" x14ac:dyDescent="0.2">
      <c r="A219" s="328"/>
    </row>
    <row r="220" spans="1:1" x14ac:dyDescent="0.2">
      <c r="A220" s="328"/>
    </row>
    <row r="221" spans="1:1" x14ac:dyDescent="0.2">
      <c r="A221" s="328"/>
    </row>
    <row r="222" spans="1:1" x14ac:dyDescent="0.2">
      <c r="A222" s="328"/>
    </row>
    <row r="223" spans="1:1" x14ac:dyDescent="0.2">
      <c r="A223" s="328"/>
    </row>
    <row r="224" spans="1:1" x14ac:dyDescent="0.2">
      <c r="A224" s="328"/>
    </row>
    <row r="225" spans="1:1" x14ac:dyDescent="0.2">
      <c r="A225" s="328"/>
    </row>
  </sheetData>
  <sheetProtection algorithmName="SHA-512" hashValue="dWMOTSeSmSZjOEq1Zez1oSVgQS99xVBbS5bDMnfBsPO0UmWFwRT5Smro+gXbdo2kx7ilqt9+nsTz3dZ99iQPaw==" saltValue="ohWCj0HtSo431lGJ4lElww==" spinCount="100000" sheet="1" objects="1" scenarios="1"/>
  <mergeCells count="5">
    <mergeCell ref="B22:D22"/>
    <mergeCell ref="B24:D24"/>
    <mergeCell ref="B25:D25"/>
    <mergeCell ref="B27:D27"/>
    <mergeCell ref="B28:D28"/>
  </mergeCells>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11:D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5"/>
  <sheetViews>
    <sheetView showGridLines="0" zoomScale="87" zoomScaleNormal="87" workbookViewId="0">
      <selection activeCell="D11" sqref="D11"/>
    </sheetView>
  </sheetViews>
  <sheetFormatPr defaultColWidth="27.42578125" defaultRowHeight="17.25" x14ac:dyDescent="0.3"/>
  <cols>
    <col min="1" max="1" width="71.5703125" style="56" bestFit="1" customWidth="1"/>
    <col min="2" max="2" width="7.140625" style="56" customWidth="1"/>
    <col min="3" max="5" width="10.5703125" style="56" customWidth="1"/>
    <col min="6" max="6" width="10.5703125" style="172" customWidth="1"/>
    <col min="7" max="7" width="71.42578125" style="56" customWidth="1"/>
    <col min="8" max="16384" width="27.42578125" style="56"/>
  </cols>
  <sheetData>
    <row r="1" spans="1:7" x14ac:dyDescent="0.3">
      <c r="A1" s="346" t="str">
        <f>Declaration!C3</f>
        <v>South Lanarkshire College</v>
      </c>
      <c r="B1" s="346"/>
      <c r="C1" s="79"/>
      <c r="D1" s="79"/>
    </row>
    <row r="2" spans="1:7" x14ac:dyDescent="0.3">
      <c r="A2" s="79"/>
      <c r="B2" s="79"/>
      <c r="C2" s="79"/>
      <c r="D2" s="79"/>
    </row>
    <row r="3" spans="1:7" x14ac:dyDescent="0.3">
      <c r="A3" s="79"/>
      <c r="B3" s="79"/>
      <c r="C3" s="79"/>
      <c r="D3" s="79"/>
    </row>
    <row r="4" spans="1:7" ht="34.5" x14ac:dyDescent="0.3">
      <c r="A4" s="346" t="s">
        <v>164</v>
      </c>
      <c r="B4" s="346"/>
      <c r="C4" s="57" t="str">
        <f>SOCIE!D3</f>
        <v>FFR     2024-25</v>
      </c>
      <c r="D4" s="57" t="str">
        <f>SOCIE!E3</f>
        <v>MYR    2024-25</v>
      </c>
      <c r="E4" s="58" t="str">
        <f>SOCIE!G3</f>
        <v>Variance</v>
      </c>
      <c r="F4" s="173" t="str">
        <f>SOCIE!H3</f>
        <v>Variance</v>
      </c>
      <c r="G4" s="59" t="s">
        <v>14</v>
      </c>
    </row>
    <row r="5" spans="1:7" x14ac:dyDescent="0.3">
      <c r="C5" s="188" t="s">
        <v>15</v>
      </c>
      <c r="D5" s="188" t="s">
        <v>15</v>
      </c>
      <c r="E5" s="189" t="str">
        <f>+SOCIE!G4</f>
        <v>%</v>
      </c>
      <c r="F5" s="190" t="str">
        <f>+SOCIE!H4</f>
        <v>£</v>
      </c>
    </row>
    <row r="6" spans="1:7" x14ac:dyDescent="0.3">
      <c r="A6" s="60"/>
    </row>
    <row r="7" spans="1:7" x14ac:dyDescent="0.3">
      <c r="C7" s="80"/>
      <c r="D7" s="80"/>
    </row>
    <row r="8" spans="1:7" s="62" customFormat="1" ht="51.75" customHeight="1" x14ac:dyDescent="0.2">
      <c r="A8" s="76" t="s">
        <v>36</v>
      </c>
      <c r="B8" s="76"/>
      <c r="C8" s="61">
        <f>SOCIE!D30</f>
        <v>-1301</v>
      </c>
      <c r="D8" s="61">
        <f>SOCIE!E30</f>
        <v>-2002</v>
      </c>
      <c r="E8" s="186">
        <f>IF(C8=0,"",(D8-C8)/C8)</f>
        <v>0.53881629515757112</v>
      </c>
      <c r="F8" s="187">
        <f>+D8-C8</f>
        <v>-701</v>
      </c>
    </row>
    <row r="9" spans="1:7" s="62" customFormat="1" x14ac:dyDescent="0.2">
      <c r="C9" s="63"/>
      <c r="D9" s="63"/>
      <c r="E9" s="81"/>
      <c r="F9" s="174"/>
    </row>
    <row r="10" spans="1:7" s="62" customFormat="1" x14ac:dyDescent="0.2">
      <c r="A10" s="64" t="s">
        <v>165</v>
      </c>
      <c r="C10" s="65"/>
      <c r="D10" s="65"/>
      <c r="E10" s="81"/>
      <c r="F10" s="174"/>
    </row>
    <row r="11" spans="1:7" s="62" customFormat="1" ht="51.75" x14ac:dyDescent="0.2">
      <c r="A11" s="89" t="s">
        <v>166</v>
      </c>
      <c r="C11" s="99">
        <f>SOCIE!D23-Income!E20-Income!E40</f>
        <v>635</v>
      </c>
      <c r="D11" s="99">
        <f>+SOCIE!E23-Income!F20-Income!F40</f>
        <v>884</v>
      </c>
      <c r="E11" s="186">
        <f>IF(C11=0,"",(D11-C11)/C11)</f>
        <v>0.39212598425196848</v>
      </c>
      <c r="F11" s="187">
        <f>+D11-C11</f>
        <v>249</v>
      </c>
      <c r="G11" s="97"/>
    </row>
    <row r="12" spans="1:7" s="62" customFormat="1" x14ac:dyDescent="0.2">
      <c r="A12" s="90" t="s">
        <v>167</v>
      </c>
      <c r="C12" s="99">
        <f>SOCIE!D20</f>
        <v>0</v>
      </c>
      <c r="D12" s="99">
        <f>SOCIE!E20</f>
        <v>0</v>
      </c>
      <c r="E12" s="186" t="str">
        <f t="shared" ref="E12:E16" si="0">IF(C12=0,"",(D12-C12)/C12)</f>
        <v/>
      </c>
      <c r="F12" s="187">
        <f t="shared" ref="F12:F16" si="1">+D12-C12</f>
        <v>0</v>
      </c>
      <c r="G12" s="97"/>
    </row>
    <row r="13" spans="1:7" s="62" customFormat="1" x14ac:dyDescent="0.25">
      <c r="A13" s="100" t="s">
        <v>168</v>
      </c>
      <c r="C13" s="99">
        <f>SOCIE!D22</f>
        <v>0</v>
      </c>
      <c r="D13" s="99">
        <f>SOCIE!E22</f>
        <v>0</v>
      </c>
      <c r="E13" s="186" t="str">
        <f t="shared" si="0"/>
        <v/>
      </c>
      <c r="F13" s="187">
        <f t="shared" si="1"/>
        <v>0</v>
      </c>
      <c r="G13" s="97"/>
    </row>
    <row r="14" spans="1:7" s="62" customFormat="1" x14ac:dyDescent="0.2">
      <c r="A14" s="91" t="s">
        <v>169</v>
      </c>
      <c r="C14" s="294">
        <f>+Expenditure!E25</f>
        <v>0</v>
      </c>
      <c r="D14" s="294">
        <f>+Expenditure!F25</f>
        <v>0</v>
      </c>
      <c r="E14" s="186" t="str">
        <f t="shared" si="0"/>
        <v/>
      </c>
      <c r="F14" s="187">
        <f t="shared" si="1"/>
        <v>0</v>
      </c>
      <c r="G14" s="97"/>
    </row>
    <row r="15" spans="1:7" s="62" customFormat="1" x14ac:dyDescent="0.2">
      <c r="A15" s="91" t="s">
        <v>170</v>
      </c>
      <c r="C15" s="294">
        <f>+Expenditure!E27</f>
        <v>0</v>
      </c>
      <c r="D15" s="294">
        <f>+Expenditure!F27</f>
        <v>0</v>
      </c>
      <c r="E15" s="186" t="str">
        <f t="shared" si="0"/>
        <v/>
      </c>
      <c r="F15" s="187">
        <f t="shared" si="1"/>
        <v>0</v>
      </c>
      <c r="G15" s="97"/>
    </row>
    <row r="16" spans="1:7" s="62" customFormat="1" x14ac:dyDescent="0.2">
      <c r="A16" s="91" t="s">
        <v>171</v>
      </c>
      <c r="B16" s="89"/>
      <c r="C16" s="294">
        <f>+Expenditure!E62-Income!E50</f>
        <v>0</v>
      </c>
      <c r="D16" s="294">
        <f>+Expenditure!F62-Income!F50</f>
        <v>0</v>
      </c>
      <c r="E16" s="186" t="str">
        <f t="shared" si="0"/>
        <v/>
      </c>
      <c r="F16" s="187">
        <f t="shared" si="1"/>
        <v>0</v>
      </c>
      <c r="G16" s="97"/>
    </row>
    <row r="17" spans="1:7" s="62" customFormat="1" ht="34.5" x14ac:dyDescent="0.2">
      <c r="A17" s="90" t="s">
        <v>172</v>
      </c>
      <c r="B17" s="89"/>
      <c r="C17" s="66">
        <f>SOCIE!D25</f>
        <v>0</v>
      </c>
      <c r="D17" s="66">
        <f>SOCIE!E25</f>
        <v>0</v>
      </c>
      <c r="E17" s="186" t="str">
        <f t="shared" ref="E17" si="2">IF(C17=0,"",(D17-C17)/C17)</f>
        <v/>
      </c>
      <c r="F17" s="187">
        <f t="shared" ref="F17" si="3">+D17-C17</f>
        <v>0</v>
      </c>
      <c r="G17" s="97"/>
    </row>
    <row r="18" spans="1:7" s="62" customFormat="1" x14ac:dyDescent="0.3">
      <c r="A18" s="76" t="s">
        <v>173</v>
      </c>
      <c r="C18" s="82"/>
      <c r="D18" s="82"/>
      <c r="E18" s="186"/>
      <c r="F18" s="187"/>
      <c r="G18" s="97"/>
    </row>
    <row r="19" spans="1:7" s="62" customFormat="1" x14ac:dyDescent="0.3">
      <c r="A19" s="92" t="s">
        <v>174</v>
      </c>
      <c r="C19" s="99">
        <f>+Income!E37+Income!E38</f>
        <v>26</v>
      </c>
      <c r="D19" s="99">
        <f>+Income!F37+Income!F38</f>
        <v>3</v>
      </c>
      <c r="E19" s="186">
        <f t="shared" ref="E19:E22" si="4">IF(C19=0,"",(D19-C19)/C19)</f>
        <v>-0.88461538461538458</v>
      </c>
      <c r="F19" s="187">
        <f t="shared" ref="F19:F22" si="5">+D19-C19</f>
        <v>-23</v>
      </c>
      <c r="G19" s="97"/>
    </row>
    <row r="20" spans="1:7" s="62" customFormat="1" x14ac:dyDescent="0.2">
      <c r="A20" s="297" t="s">
        <v>175</v>
      </c>
      <c r="C20" s="99">
        <v>0</v>
      </c>
      <c r="D20" s="66">
        <v>0</v>
      </c>
      <c r="E20" s="186" t="str">
        <f t="shared" si="4"/>
        <v/>
      </c>
      <c r="F20" s="187">
        <f t="shared" si="5"/>
        <v>0</v>
      </c>
      <c r="G20" s="97"/>
    </row>
    <row r="21" spans="1:7" s="62" customFormat="1" ht="34.5" x14ac:dyDescent="0.3">
      <c r="A21" s="92" t="s">
        <v>176</v>
      </c>
      <c r="C21" s="99">
        <f t="shared" ref="C21:D21" si="6">C43</f>
        <v>0</v>
      </c>
      <c r="D21" s="99">
        <f t="shared" si="6"/>
        <v>0</v>
      </c>
      <c r="E21" s="186" t="str">
        <f t="shared" si="4"/>
        <v/>
      </c>
      <c r="F21" s="187">
        <f t="shared" si="5"/>
        <v>0</v>
      </c>
      <c r="G21" s="97"/>
    </row>
    <row r="22" spans="1:7" s="62" customFormat="1" x14ac:dyDescent="0.3">
      <c r="A22" s="92" t="s">
        <v>177</v>
      </c>
      <c r="C22" s="99">
        <v>0</v>
      </c>
      <c r="D22" s="66">
        <v>0</v>
      </c>
      <c r="E22" s="186" t="str">
        <f t="shared" si="4"/>
        <v/>
      </c>
      <c r="F22" s="187">
        <f t="shared" si="5"/>
        <v>0</v>
      </c>
      <c r="G22" s="97"/>
    </row>
    <row r="23" spans="1:7" s="62" customFormat="1" x14ac:dyDescent="0.3">
      <c r="C23" s="65"/>
      <c r="D23" s="65"/>
      <c r="E23" s="82"/>
      <c r="F23" s="172"/>
      <c r="G23" s="97"/>
    </row>
    <row r="24" spans="1:7" s="62" customFormat="1" ht="18" thickBot="1" x14ac:dyDescent="0.35">
      <c r="A24" s="347" t="s">
        <v>178</v>
      </c>
      <c r="B24" s="347"/>
      <c r="C24" s="83">
        <f>C8+C11+C12+C13+C14+C15+C16+C17-C19-C20-C21-C22</f>
        <v>-692</v>
      </c>
      <c r="D24" s="83">
        <f>D8+D11+D12+D13+D14+D15+D16+D17-D19-D20-D21-D22</f>
        <v>-1121</v>
      </c>
      <c r="E24" s="82">
        <f>IF(C24=0,"",(D24-C24)/C24)</f>
        <v>0.61994219653179194</v>
      </c>
      <c r="F24" s="172">
        <f>+D24-C24</f>
        <v>-429</v>
      </c>
      <c r="G24" s="97"/>
    </row>
    <row r="25" spans="1:7" s="62" customFormat="1" x14ac:dyDescent="0.3">
      <c r="A25" s="56"/>
      <c r="B25" s="56"/>
      <c r="C25" s="56"/>
      <c r="D25" s="56"/>
      <c r="E25" s="56"/>
      <c r="F25" s="172"/>
      <c r="G25" s="97"/>
    </row>
    <row r="26" spans="1:7" x14ac:dyDescent="0.3">
      <c r="G26" s="97"/>
    </row>
    <row r="27" spans="1:7" x14ac:dyDescent="0.3">
      <c r="G27" s="97"/>
    </row>
    <row r="28" spans="1:7" ht="34.5" x14ac:dyDescent="0.3">
      <c r="A28" s="60" t="s">
        <v>179</v>
      </c>
      <c r="G28" s="97"/>
    </row>
    <row r="29" spans="1:7" x14ac:dyDescent="0.3">
      <c r="A29" s="60"/>
      <c r="G29" s="97"/>
    </row>
    <row r="30" spans="1:7" hidden="1" x14ac:dyDescent="0.3">
      <c r="A30" s="94" t="s">
        <v>180</v>
      </c>
      <c r="G30" s="97"/>
    </row>
    <row r="31" spans="1:7" hidden="1" x14ac:dyDescent="0.3">
      <c r="A31" s="56" t="s">
        <v>181</v>
      </c>
      <c r="C31" s="99">
        <v>0</v>
      </c>
      <c r="D31" s="66">
        <v>0</v>
      </c>
      <c r="G31" s="97"/>
    </row>
    <row r="32" spans="1:7" hidden="1" x14ac:dyDescent="0.3">
      <c r="A32" s="56" t="s">
        <v>182</v>
      </c>
      <c r="C32" s="99">
        <v>0</v>
      </c>
      <c r="D32" s="66">
        <v>0</v>
      </c>
      <c r="G32" s="97"/>
    </row>
    <row r="33" spans="1:7" hidden="1" x14ac:dyDescent="0.3">
      <c r="A33" s="56" t="s">
        <v>183</v>
      </c>
      <c r="C33" s="99">
        <v>0</v>
      </c>
      <c r="D33" s="66">
        <v>0</v>
      </c>
      <c r="G33" s="97"/>
    </row>
    <row r="34" spans="1:7" hidden="1" x14ac:dyDescent="0.3">
      <c r="A34" s="87" t="s">
        <v>184</v>
      </c>
      <c r="C34" s="99">
        <v>0</v>
      </c>
      <c r="D34" s="66">
        <v>0</v>
      </c>
      <c r="G34" s="97"/>
    </row>
    <row r="35" spans="1:7" hidden="1" x14ac:dyDescent="0.3">
      <c r="A35" s="87" t="s">
        <v>185</v>
      </c>
      <c r="C35" s="99">
        <v>0</v>
      </c>
      <c r="D35" s="66">
        <v>0</v>
      </c>
      <c r="G35" s="97"/>
    </row>
    <row r="36" spans="1:7" ht="18" hidden="1" thickBot="1" x14ac:dyDescent="0.35">
      <c r="A36" s="94" t="s">
        <v>186</v>
      </c>
      <c r="C36" s="84">
        <f t="shared" ref="C36:D36" si="7">SUM(C31:C35)</f>
        <v>0</v>
      </c>
      <c r="D36" s="84">
        <f t="shared" si="7"/>
        <v>0</v>
      </c>
      <c r="G36" s="97"/>
    </row>
    <row r="37" spans="1:7" hidden="1" x14ac:dyDescent="0.3">
      <c r="G37" s="87"/>
    </row>
    <row r="38" spans="1:7" hidden="1" x14ac:dyDescent="0.3">
      <c r="A38" s="94" t="s">
        <v>187</v>
      </c>
      <c r="G38" s="87"/>
    </row>
    <row r="39" spans="1:7" x14ac:dyDescent="0.3">
      <c r="A39" s="56" t="s">
        <v>188</v>
      </c>
      <c r="C39" s="99">
        <v>0</v>
      </c>
      <c r="D39" s="66">
        <v>0</v>
      </c>
      <c r="F39" s="187">
        <f t="shared" ref="F39:F42" si="8">+D39-C39</f>
        <v>0</v>
      </c>
      <c r="G39" s="97"/>
    </row>
    <row r="40" spans="1:7" x14ac:dyDescent="0.3">
      <c r="A40" s="56" t="s">
        <v>189</v>
      </c>
      <c r="C40" s="99">
        <v>0</v>
      </c>
      <c r="D40" s="66">
        <v>0</v>
      </c>
      <c r="F40" s="187">
        <f t="shared" si="8"/>
        <v>0</v>
      </c>
      <c r="G40" s="97"/>
    </row>
    <row r="41" spans="1:7" x14ac:dyDescent="0.3">
      <c r="A41" s="87" t="s">
        <v>184</v>
      </c>
      <c r="C41" s="99">
        <v>0</v>
      </c>
      <c r="D41" s="66">
        <v>0</v>
      </c>
      <c r="F41" s="187">
        <f t="shared" si="8"/>
        <v>0</v>
      </c>
      <c r="G41" s="97"/>
    </row>
    <row r="42" spans="1:7" x14ac:dyDescent="0.3">
      <c r="A42" s="87" t="s">
        <v>190</v>
      </c>
      <c r="C42" s="99">
        <v>0</v>
      </c>
      <c r="D42" s="66">
        <v>0</v>
      </c>
      <c r="F42" s="187">
        <f t="shared" si="8"/>
        <v>0</v>
      </c>
      <c r="G42" s="62"/>
    </row>
    <row r="43" spans="1:7" ht="18" thickBot="1" x14ac:dyDescent="0.35">
      <c r="A43" s="94"/>
      <c r="C43" s="84">
        <f t="shared" ref="C43:D43" si="9">SUM(C39:C42)</f>
        <v>0</v>
      </c>
      <c r="D43" s="84">
        <f t="shared" si="9"/>
        <v>0</v>
      </c>
      <c r="G43" s="62"/>
    </row>
    <row r="45" spans="1:7" ht="18" hidden="1" thickBot="1" x14ac:dyDescent="0.35">
      <c r="A45" s="60" t="s">
        <v>191</v>
      </c>
      <c r="C45" s="83">
        <f t="shared" ref="C45:D45" si="10">C36+C43</f>
        <v>0</v>
      </c>
      <c r="D45" s="83">
        <f t="shared" si="10"/>
        <v>0</v>
      </c>
    </row>
  </sheetData>
  <sheetProtection algorithmName="SHA-512" hashValue="R++Mys6MJjaWnr8SKS6E+HRvMgR2uu+IBBn/L9QBNNyE8jNo4DFBYucCZsm7Vj419ZY4bDbfqE4+PS6dtu0gmg==" saltValue="8A/50I2PPpOs08PHiC5NgQ==" spinCount="100000" sheet="1" objects="1" scenarios="1"/>
  <mergeCells count="3">
    <mergeCell ref="A1:B1"/>
    <mergeCell ref="A4:B4"/>
    <mergeCell ref="A24:B24"/>
  </mergeCells>
  <pageMargins left="0.70866141732283472" right="0.70866141732283472" top="0.74803149606299213" bottom="0.74803149606299213" header="0.31496062992125984" footer="0.31496062992125984"/>
  <pageSetup paperSize="9" scale="44" orientation="landscape" r:id="rId1"/>
  <ignoredErrors>
    <ignoredError sqref="C5:D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0"/>
  <sheetViews>
    <sheetView showGridLines="0" topLeftCell="A22" zoomScale="87" zoomScaleNormal="87" workbookViewId="0">
      <selection activeCell="I7" sqref="I7"/>
    </sheetView>
  </sheetViews>
  <sheetFormatPr defaultColWidth="9.42578125" defaultRowHeight="15" x14ac:dyDescent="0.25"/>
  <cols>
    <col min="1" max="1" width="9.42578125" style="17"/>
    <col min="2" max="2" width="44.42578125" style="17" customWidth="1"/>
    <col min="3" max="3" width="2.5703125" style="17" customWidth="1"/>
    <col min="4" max="4" width="56.42578125" style="17" customWidth="1"/>
    <col min="5" max="6" width="9.42578125" style="17"/>
    <col min="7" max="8" width="8.5703125" style="17" customWidth="1"/>
    <col min="9" max="9" width="60.5703125" style="17" customWidth="1"/>
    <col min="10" max="16384" width="9.42578125" style="17"/>
  </cols>
  <sheetData>
    <row r="1" spans="1:11" x14ac:dyDescent="0.25">
      <c r="B1" s="191" t="str">
        <f>Declaration!C3</f>
        <v>South Lanarkshire College</v>
      </c>
      <c r="D1" s="192"/>
    </row>
    <row r="2" spans="1:11" x14ac:dyDescent="0.25">
      <c r="B2" s="191"/>
      <c r="G2" s="192"/>
      <c r="H2" s="192"/>
    </row>
    <row r="3" spans="1:11" ht="64.5" customHeight="1" x14ac:dyDescent="0.25">
      <c r="B3" s="193" t="s">
        <v>192</v>
      </c>
      <c r="E3" s="55" t="str">
        <f>SOCIE!D3</f>
        <v>FFR     2024-25</v>
      </c>
      <c r="F3" s="55" t="str">
        <f>SOCIE!E3</f>
        <v>MYR    2024-25</v>
      </c>
      <c r="G3" s="55" t="str">
        <f>SOCIE!G3</f>
        <v>Variance</v>
      </c>
      <c r="H3" s="55" t="str">
        <f>SOCIE!H3</f>
        <v>Variance</v>
      </c>
      <c r="I3" s="55" t="s">
        <v>14</v>
      </c>
      <c r="J3" s="55"/>
      <c r="K3" s="55"/>
    </row>
    <row r="4" spans="1:11" x14ac:dyDescent="0.25">
      <c r="E4" s="194" t="s">
        <v>15</v>
      </c>
      <c r="F4" s="194" t="s">
        <v>15</v>
      </c>
      <c r="G4" s="195" t="str">
        <f>+SOCIE!G4</f>
        <v>%</v>
      </c>
      <c r="H4" s="195" t="str">
        <f>+SOCIE!H4</f>
        <v>£</v>
      </c>
      <c r="I4" s="350"/>
      <c r="J4" s="350"/>
      <c r="K4" s="350"/>
    </row>
    <row r="5" spans="1:11" x14ac:dyDescent="0.25">
      <c r="I5" s="350"/>
      <c r="J5" s="350"/>
      <c r="K5" s="350"/>
    </row>
    <row r="6" spans="1:11" x14ac:dyDescent="0.25">
      <c r="A6" s="193">
        <v>1</v>
      </c>
      <c r="B6" s="196" t="s">
        <v>193</v>
      </c>
      <c r="C6" s="196" t="s">
        <v>64</v>
      </c>
      <c r="D6" s="196" t="s">
        <v>194</v>
      </c>
      <c r="E6" s="98">
        <v>252</v>
      </c>
      <c r="F6" s="70">
        <v>140</v>
      </c>
      <c r="G6" s="197">
        <f>IF(E6=0,"",(F6-E6)/E6)</f>
        <v>-0.44444444444444442</v>
      </c>
      <c r="H6" s="179">
        <f>+F6-E6</f>
        <v>-112</v>
      </c>
      <c r="I6" s="198"/>
      <c r="J6" s="198"/>
      <c r="K6" s="198"/>
    </row>
    <row r="7" spans="1:11" x14ac:dyDescent="0.25">
      <c r="A7" s="193"/>
      <c r="B7" s="196"/>
      <c r="C7" s="196" t="s">
        <v>50</v>
      </c>
      <c r="D7" s="196" t="s">
        <v>195</v>
      </c>
      <c r="E7" s="98">
        <v>49413</v>
      </c>
      <c r="F7" s="70">
        <v>47924</v>
      </c>
      <c r="G7" s="197">
        <f>IF(E7=0,"",(F7-E7)/E7)</f>
        <v>-3.0133770465262177E-2</v>
      </c>
      <c r="H7" s="179">
        <f t="shared" ref="H7:H9" si="0">+F7-E7</f>
        <v>-1489</v>
      </c>
      <c r="I7" s="198" t="s">
        <v>366</v>
      </c>
      <c r="J7" s="198"/>
      <c r="K7" s="198"/>
    </row>
    <row r="8" spans="1:11" x14ac:dyDescent="0.25">
      <c r="A8" s="193"/>
      <c r="B8" s="193"/>
      <c r="C8" s="196" t="s">
        <v>52</v>
      </c>
      <c r="D8" s="196" t="s">
        <v>196</v>
      </c>
      <c r="E8" s="95">
        <v>0</v>
      </c>
      <c r="F8" s="71">
        <v>0</v>
      </c>
      <c r="G8" s="197" t="str">
        <f>IF(E8=0,"",(F8-E8)/E8)</f>
        <v/>
      </c>
      <c r="H8" s="179">
        <f t="shared" si="0"/>
        <v>0</v>
      </c>
      <c r="I8" s="198"/>
      <c r="J8" s="198"/>
      <c r="K8" s="198"/>
    </row>
    <row r="9" spans="1:11" x14ac:dyDescent="0.25">
      <c r="A9" s="193"/>
      <c r="B9" s="193" t="s">
        <v>197</v>
      </c>
      <c r="C9" s="196"/>
      <c r="D9" s="196"/>
      <c r="E9" s="199">
        <f t="shared" ref="E9:F9" si="1">SUM(E6:E8)</f>
        <v>49665</v>
      </c>
      <c r="F9" s="200">
        <f t="shared" si="1"/>
        <v>48064</v>
      </c>
      <c r="G9" s="197">
        <f>IF(E9=0,"",(F9-E9)/E9)</f>
        <v>-3.2235981073190374E-2</v>
      </c>
      <c r="H9" s="179">
        <f t="shared" si="0"/>
        <v>-1601</v>
      </c>
      <c r="I9" s="198"/>
      <c r="J9" s="198"/>
      <c r="K9" s="198"/>
    </row>
    <row r="10" spans="1:11" x14ac:dyDescent="0.25">
      <c r="A10" s="193"/>
      <c r="B10" s="196"/>
      <c r="C10" s="196"/>
      <c r="D10" s="196"/>
      <c r="E10" s="201"/>
      <c r="F10" s="202"/>
      <c r="G10" s="197"/>
      <c r="H10" s="197"/>
      <c r="I10" s="198"/>
      <c r="J10" s="198"/>
      <c r="K10" s="198"/>
    </row>
    <row r="11" spans="1:11" ht="30" x14ac:dyDescent="0.25">
      <c r="A11" s="193">
        <v>2</v>
      </c>
      <c r="B11" s="203" t="s">
        <v>198</v>
      </c>
      <c r="C11" s="203" t="s">
        <v>64</v>
      </c>
      <c r="D11" s="203" t="s">
        <v>199</v>
      </c>
      <c r="E11" s="95">
        <v>8</v>
      </c>
      <c r="F11" s="71">
        <v>18</v>
      </c>
      <c r="G11" s="197">
        <f t="shared" ref="G11:G16" si="2">IF(E11=0,"",(F11-E11)/E11)</f>
        <v>1.25</v>
      </c>
      <c r="H11" s="179">
        <f t="shared" ref="H11:H16" si="3">+F11-E11</f>
        <v>10</v>
      </c>
      <c r="I11" s="198"/>
      <c r="J11" s="198"/>
      <c r="K11" s="198"/>
    </row>
    <row r="12" spans="1:11" x14ac:dyDescent="0.25">
      <c r="A12" s="193"/>
      <c r="B12" s="203"/>
      <c r="C12" s="196" t="s">
        <v>50</v>
      </c>
      <c r="D12" s="203" t="s">
        <v>200</v>
      </c>
      <c r="E12" s="95">
        <v>1736</v>
      </c>
      <c r="F12" s="71">
        <v>712</v>
      </c>
      <c r="G12" s="197">
        <f t="shared" si="2"/>
        <v>-0.58986175115207373</v>
      </c>
      <c r="H12" s="179">
        <f t="shared" si="3"/>
        <v>-1024</v>
      </c>
      <c r="I12" s="198" t="s">
        <v>367</v>
      </c>
      <c r="J12" s="198"/>
      <c r="K12" s="198"/>
    </row>
    <row r="13" spans="1:11" x14ac:dyDescent="0.25">
      <c r="A13" s="196"/>
      <c r="B13" s="196"/>
      <c r="C13" s="196" t="s">
        <v>52</v>
      </c>
      <c r="D13" s="196" t="s">
        <v>196</v>
      </c>
      <c r="E13" s="95">
        <v>0</v>
      </c>
      <c r="F13" s="71">
        <v>0</v>
      </c>
      <c r="G13" s="197" t="str">
        <f t="shared" si="2"/>
        <v/>
      </c>
      <c r="H13" s="179">
        <f t="shared" si="3"/>
        <v>0</v>
      </c>
      <c r="I13" s="198"/>
      <c r="J13" s="198"/>
      <c r="K13" s="198"/>
    </row>
    <row r="14" spans="1:11" x14ac:dyDescent="0.25">
      <c r="A14" s="193"/>
      <c r="B14" s="196"/>
      <c r="C14" s="196" t="s">
        <v>54</v>
      </c>
      <c r="D14" s="196" t="s">
        <v>201</v>
      </c>
      <c r="E14" s="95">
        <v>823</v>
      </c>
      <c r="F14" s="71">
        <v>2002</v>
      </c>
      <c r="G14" s="197">
        <f t="shared" si="2"/>
        <v>1.4325637910085054</v>
      </c>
      <c r="H14" s="179">
        <f t="shared" si="3"/>
        <v>1179</v>
      </c>
      <c r="I14" s="198" t="s">
        <v>368</v>
      </c>
      <c r="J14" s="198"/>
      <c r="K14" s="198"/>
    </row>
    <row r="15" spans="1:11" x14ac:dyDescent="0.25">
      <c r="A15" s="193"/>
      <c r="B15" s="196"/>
      <c r="C15" s="196" t="s">
        <v>56</v>
      </c>
      <c r="D15" s="196" t="s">
        <v>202</v>
      </c>
      <c r="E15" s="95">
        <v>0</v>
      </c>
      <c r="F15" s="71">
        <v>0</v>
      </c>
      <c r="G15" s="197" t="str">
        <f t="shared" si="2"/>
        <v/>
      </c>
      <c r="H15" s="179">
        <f t="shared" si="3"/>
        <v>0</v>
      </c>
      <c r="I15" s="198"/>
      <c r="J15" s="198"/>
      <c r="K15" s="198"/>
    </row>
    <row r="16" spans="1:11" x14ac:dyDescent="0.25">
      <c r="A16" s="196"/>
      <c r="B16" s="193" t="s">
        <v>203</v>
      </c>
      <c r="C16" s="196"/>
      <c r="D16" s="196"/>
      <c r="E16" s="199">
        <f>SUM(E11:E15)</f>
        <v>2567</v>
      </c>
      <c r="F16" s="200">
        <f>SUM(F11:F15)</f>
        <v>2732</v>
      </c>
      <c r="G16" s="197">
        <f t="shared" si="2"/>
        <v>6.4277366575769379E-2</v>
      </c>
      <c r="H16" s="179">
        <f t="shared" si="3"/>
        <v>165</v>
      </c>
      <c r="I16" s="198"/>
      <c r="J16" s="198"/>
      <c r="K16" s="198"/>
    </row>
    <row r="17" spans="1:11" x14ac:dyDescent="0.25">
      <c r="A17" s="193"/>
      <c r="B17" s="196"/>
      <c r="C17" s="196"/>
      <c r="E17" s="201"/>
      <c r="F17" s="202"/>
      <c r="G17" s="197"/>
      <c r="H17" s="197"/>
      <c r="I17" s="198"/>
      <c r="J17" s="198"/>
      <c r="K17" s="198"/>
    </row>
    <row r="18" spans="1:11" x14ac:dyDescent="0.25">
      <c r="A18" s="193">
        <v>3</v>
      </c>
      <c r="B18" s="348" t="s">
        <v>204</v>
      </c>
      <c r="C18" s="196" t="s">
        <v>64</v>
      </c>
      <c r="D18" s="196" t="s">
        <v>205</v>
      </c>
      <c r="E18" s="95">
        <v>0</v>
      </c>
      <c r="F18" s="71">
        <v>0</v>
      </c>
      <c r="G18" s="197" t="str">
        <f t="shared" ref="G18:G26" si="4">IF(E18=0,"",(F18-E18)/E18)</f>
        <v/>
      </c>
      <c r="H18" s="179">
        <f t="shared" ref="H18:H27" si="5">+F18-E18</f>
        <v>0</v>
      </c>
      <c r="I18" s="198"/>
      <c r="J18" s="198"/>
      <c r="K18" s="198"/>
    </row>
    <row r="19" spans="1:11" x14ac:dyDescent="0.25">
      <c r="A19" s="193"/>
      <c r="B19" s="348"/>
      <c r="C19" s="196" t="s">
        <v>50</v>
      </c>
      <c r="D19" s="196" t="s">
        <v>206</v>
      </c>
      <c r="E19" s="95">
        <v>0</v>
      </c>
      <c r="F19" s="71">
        <v>0</v>
      </c>
      <c r="G19" s="197" t="str">
        <f t="shared" si="4"/>
        <v/>
      </c>
      <c r="H19" s="179">
        <f t="shared" si="5"/>
        <v>0</v>
      </c>
      <c r="I19" s="198"/>
      <c r="J19" s="198"/>
      <c r="K19" s="198"/>
    </row>
    <row r="20" spans="1:11" x14ac:dyDescent="0.25">
      <c r="A20" s="193"/>
      <c r="B20" s="348"/>
      <c r="C20" s="203" t="s">
        <v>52</v>
      </c>
      <c r="D20" s="196" t="s">
        <v>207</v>
      </c>
      <c r="E20" s="95">
        <v>0</v>
      </c>
      <c r="F20" s="71">
        <v>0</v>
      </c>
      <c r="G20" s="197" t="str">
        <f t="shared" si="4"/>
        <v/>
      </c>
      <c r="H20" s="179">
        <f t="shared" si="5"/>
        <v>0</v>
      </c>
      <c r="I20" s="198"/>
      <c r="J20" s="198"/>
      <c r="K20" s="198"/>
    </row>
    <row r="21" spans="1:11" x14ac:dyDescent="0.25">
      <c r="A21" s="193"/>
      <c r="B21" s="349"/>
      <c r="C21" s="196" t="s">
        <v>54</v>
      </c>
      <c r="D21" s="196" t="s">
        <v>208</v>
      </c>
      <c r="E21" s="95">
        <v>0</v>
      </c>
      <c r="F21" s="71">
        <v>0</v>
      </c>
      <c r="G21" s="197" t="str">
        <f t="shared" si="4"/>
        <v/>
      </c>
      <c r="H21" s="179">
        <f t="shared" si="5"/>
        <v>0</v>
      </c>
      <c r="I21" s="198"/>
      <c r="J21" s="198"/>
      <c r="K21" s="198"/>
    </row>
    <row r="22" spans="1:11" x14ac:dyDescent="0.25">
      <c r="A22" s="193"/>
      <c r="B22" s="204"/>
      <c r="C22" s="196" t="s">
        <v>56</v>
      </c>
      <c r="D22" s="196" t="s">
        <v>209</v>
      </c>
      <c r="E22" s="95">
        <v>0</v>
      </c>
      <c r="F22" s="71">
        <v>0</v>
      </c>
      <c r="G22" s="197" t="str">
        <f t="shared" si="4"/>
        <v/>
      </c>
      <c r="H22" s="179">
        <f t="shared" si="5"/>
        <v>0</v>
      </c>
      <c r="I22" s="198"/>
      <c r="J22" s="198"/>
      <c r="K22" s="198"/>
    </row>
    <row r="23" spans="1:11" x14ac:dyDescent="0.25">
      <c r="A23" s="193"/>
      <c r="B23" s="196"/>
      <c r="C23" s="196" t="s">
        <v>58</v>
      </c>
      <c r="D23" s="196" t="s">
        <v>210</v>
      </c>
      <c r="E23" s="95">
        <v>99</v>
      </c>
      <c r="F23" s="71">
        <v>136</v>
      </c>
      <c r="G23" s="197">
        <f t="shared" si="4"/>
        <v>0.37373737373737376</v>
      </c>
      <c r="H23" s="179">
        <f t="shared" si="5"/>
        <v>37</v>
      </c>
      <c r="I23" s="198"/>
      <c r="J23" s="198"/>
      <c r="K23" s="198"/>
    </row>
    <row r="24" spans="1:11" x14ac:dyDescent="0.25">
      <c r="A24" s="193"/>
      <c r="B24" s="196"/>
      <c r="C24" s="196" t="s">
        <v>60</v>
      </c>
      <c r="D24" s="196" t="s">
        <v>211</v>
      </c>
      <c r="E24" s="95">
        <v>0</v>
      </c>
      <c r="F24" s="71">
        <v>0</v>
      </c>
      <c r="G24" s="197" t="str">
        <f t="shared" si="4"/>
        <v/>
      </c>
      <c r="H24" s="179">
        <f t="shared" si="5"/>
        <v>0</v>
      </c>
      <c r="I24" s="198"/>
      <c r="J24" s="198"/>
      <c r="K24" s="198"/>
    </row>
    <row r="25" spans="1:11" x14ac:dyDescent="0.25">
      <c r="A25" s="193"/>
      <c r="B25" s="196"/>
      <c r="C25" s="196" t="s">
        <v>72</v>
      </c>
      <c r="D25" s="196" t="s">
        <v>212</v>
      </c>
      <c r="E25" s="95">
        <v>1045</v>
      </c>
      <c r="F25" s="71">
        <v>1045</v>
      </c>
      <c r="G25" s="197">
        <f t="shared" si="4"/>
        <v>0</v>
      </c>
      <c r="H25" s="179">
        <f t="shared" si="5"/>
        <v>0</v>
      </c>
      <c r="I25" s="198"/>
      <c r="J25" s="198"/>
      <c r="K25" s="198"/>
    </row>
    <row r="26" spans="1:11" x14ac:dyDescent="0.25">
      <c r="A26" s="193"/>
      <c r="B26" s="196"/>
      <c r="C26" s="196" t="s">
        <v>126</v>
      </c>
      <c r="D26" s="203" t="s">
        <v>213</v>
      </c>
      <c r="E26" s="95">
        <v>1569</v>
      </c>
      <c r="F26" s="71">
        <v>1534</v>
      </c>
      <c r="G26" s="197">
        <f t="shared" si="4"/>
        <v>-2.2307202039515615E-2</v>
      </c>
      <c r="H26" s="179">
        <f t="shared" si="5"/>
        <v>-35</v>
      </c>
      <c r="I26" s="198"/>
      <c r="J26" s="198"/>
      <c r="K26" s="198"/>
    </row>
    <row r="27" spans="1:11" x14ac:dyDescent="0.25">
      <c r="A27" s="193"/>
      <c r="B27" s="193" t="s">
        <v>214</v>
      </c>
      <c r="C27" s="193"/>
      <c r="D27" s="193"/>
      <c r="E27" s="199">
        <f>SUM(E18:E26)</f>
        <v>2713</v>
      </c>
      <c r="F27" s="200">
        <f>SUM(F18:F26)</f>
        <v>2715</v>
      </c>
      <c r="G27" s="197">
        <f>IF(E27=0,"",(F27-E27)/E27)</f>
        <v>7.3719130114264651E-4</v>
      </c>
      <c r="H27" s="179">
        <f t="shared" si="5"/>
        <v>2</v>
      </c>
      <c r="I27" s="198"/>
      <c r="J27" s="198"/>
      <c r="K27" s="198"/>
    </row>
    <row r="28" spans="1:11" x14ac:dyDescent="0.25">
      <c r="A28" s="193"/>
      <c r="B28" s="193"/>
      <c r="C28" s="193"/>
      <c r="D28" s="193"/>
      <c r="E28" s="199"/>
      <c r="F28" s="200"/>
      <c r="G28" s="197"/>
      <c r="H28" s="197"/>
      <c r="I28" s="198"/>
      <c r="J28" s="198"/>
      <c r="K28" s="198"/>
    </row>
    <row r="29" spans="1:11" x14ac:dyDescent="0.25">
      <c r="A29" s="193"/>
      <c r="B29" s="193" t="s">
        <v>215</v>
      </c>
      <c r="C29" s="193"/>
      <c r="D29" s="193"/>
      <c r="E29" s="95">
        <v>0</v>
      </c>
      <c r="F29" s="71">
        <v>0</v>
      </c>
      <c r="G29" s="197" t="str">
        <f>IF(E29=0,"",(F29-E29)/E29)</f>
        <v/>
      </c>
      <c r="H29" s="179">
        <f>+F29-E29</f>
        <v>0</v>
      </c>
      <c r="I29" s="198"/>
      <c r="J29" s="198"/>
      <c r="K29" s="198"/>
    </row>
    <row r="30" spans="1:11" ht="32.25" customHeight="1" x14ac:dyDescent="0.25">
      <c r="A30" s="192"/>
      <c r="B30" s="192" t="s">
        <v>216</v>
      </c>
      <c r="E30" s="205">
        <f t="shared" ref="E30:F30" si="6">E16-E27+E29</f>
        <v>-146</v>
      </c>
      <c r="F30" s="206">
        <f t="shared" si="6"/>
        <v>17</v>
      </c>
      <c r="G30" s="197">
        <f>IF(E30=0,"",(F30-E30)/E30)</f>
        <v>-1.1164383561643836</v>
      </c>
      <c r="H30" s="179">
        <f>+F30-E30</f>
        <v>163</v>
      </c>
      <c r="I30" s="198"/>
      <c r="J30" s="198"/>
      <c r="K30" s="198"/>
    </row>
    <row r="31" spans="1:11" ht="15.75" thickBot="1" x14ac:dyDescent="0.3">
      <c r="A31" s="196"/>
      <c r="B31" s="196"/>
      <c r="C31" s="196"/>
      <c r="D31" s="196"/>
      <c r="E31" s="207"/>
      <c r="F31" s="208"/>
      <c r="G31" s="197"/>
      <c r="H31" s="197"/>
      <c r="I31" s="198"/>
      <c r="J31" s="198"/>
      <c r="K31" s="198"/>
    </row>
    <row r="32" spans="1:11" ht="15.75" thickBot="1" x14ac:dyDescent="0.3">
      <c r="A32" s="196"/>
      <c r="B32" s="193" t="s">
        <v>217</v>
      </c>
      <c r="C32" s="196"/>
      <c r="D32" s="196"/>
      <c r="E32" s="209">
        <f t="shared" ref="E32:F32" si="7">E9+E30</f>
        <v>49519</v>
      </c>
      <c r="F32" s="210">
        <f t="shared" si="7"/>
        <v>48081</v>
      </c>
      <c r="G32" s="197">
        <f>IF(E32=0,"",(F32-E32)/E32)</f>
        <v>-2.9039358630020801E-2</v>
      </c>
      <c r="H32" s="179">
        <f>+F32-E32</f>
        <v>-1438</v>
      </c>
      <c r="I32" s="198"/>
      <c r="J32" s="198"/>
      <c r="K32" s="198"/>
    </row>
    <row r="33" spans="1:11" x14ac:dyDescent="0.25">
      <c r="A33" s="196"/>
      <c r="B33" s="196"/>
      <c r="C33" s="196"/>
      <c r="D33" s="196"/>
      <c r="E33" s="207"/>
      <c r="F33" s="208"/>
      <c r="G33" s="197"/>
      <c r="H33" s="197"/>
      <c r="I33" s="198"/>
      <c r="J33" s="198"/>
      <c r="K33" s="198"/>
    </row>
    <row r="34" spans="1:11" x14ac:dyDescent="0.25">
      <c r="A34" s="193">
        <v>4</v>
      </c>
      <c r="B34" s="348" t="s">
        <v>218</v>
      </c>
      <c r="C34" s="196" t="s">
        <v>64</v>
      </c>
      <c r="D34" s="17" t="s">
        <v>219</v>
      </c>
      <c r="E34" s="95">
        <v>0</v>
      </c>
      <c r="F34" s="71">
        <v>0</v>
      </c>
      <c r="G34" s="197" t="str">
        <f>IF(E34=0,"",(F34-E34)/E34)</f>
        <v/>
      </c>
      <c r="H34" s="179">
        <f t="shared" ref="H34:H45" si="8">+F34-E34</f>
        <v>0</v>
      </c>
      <c r="I34" s="198"/>
      <c r="J34" s="198"/>
      <c r="K34" s="198"/>
    </row>
    <row r="35" spans="1:11" x14ac:dyDescent="0.25">
      <c r="A35" s="196"/>
      <c r="B35" s="349"/>
      <c r="C35" s="196" t="s">
        <v>50</v>
      </c>
      <c r="D35" s="196" t="s">
        <v>205</v>
      </c>
      <c r="E35" s="95">
        <v>0</v>
      </c>
      <c r="F35" s="71">
        <v>0</v>
      </c>
      <c r="G35" s="197" t="str">
        <f>IF(E35=0,"",(F35-E35)/E35)</f>
        <v/>
      </c>
      <c r="H35" s="179">
        <f t="shared" si="8"/>
        <v>0</v>
      </c>
      <c r="I35" s="198"/>
      <c r="J35" s="198"/>
      <c r="K35" s="198"/>
    </row>
    <row r="36" spans="1:11" x14ac:dyDescent="0.25">
      <c r="A36" s="196"/>
      <c r="B36" s="349"/>
      <c r="C36" s="196" t="s">
        <v>52</v>
      </c>
      <c r="D36" s="17" t="s">
        <v>207</v>
      </c>
      <c r="E36" s="95">
        <v>0</v>
      </c>
      <c r="F36" s="71">
        <v>0</v>
      </c>
      <c r="G36" s="197" t="str">
        <f>IF(E36=0,"",(F36-E36)/E36)</f>
        <v/>
      </c>
      <c r="H36" s="179">
        <f t="shared" si="8"/>
        <v>0</v>
      </c>
      <c r="I36" s="198"/>
      <c r="J36" s="198"/>
      <c r="K36" s="198"/>
    </row>
    <row r="37" spans="1:11" x14ac:dyDescent="0.25">
      <c r="A37" s="196"/>
      <c r="B37" s="349"/>
      <c r="C37" s="196" t="s">
        <v>54</v>
      </c>
      <c r="D37" s="196" t="s">
        <v>220</v>
      </c>
      <c r="E37" s="95">
        <v>0</v>
      </c>
      <c r="F37" s="71">
        <v>0</v>
      </c>
      <c r="G37" s="197" t="str">
        <f>IF(E37=0,"",(F37-E37)/E37)</f>
        <v/>
      </c>
      <c r="H37" s="179">
        <f t="shared" si="8"/>
        <v>0</v>
      </c>
      <c r="I37" s="198"/>
      <c r="J37" s="198"/>
      <c r="K37" s="198"/>
    </row>
    <row r="38" spans="1:11" x14ac:dyDescent="0.25">
      <c r="A38" s="196"/>
      <c r="B38" s="349"/>
      <c r="C38" s="196" t="s">
        <v>56</v>
      </c>
      <c r="D38" s="196" t="s">
        <v>211</v>
      </c>
      <c r="E38" s="95">
        <v>0</v>
      </c>
      <c r="F38" s="71">
        <v>0</v>
      </c>
      <c r="G38" s="197" t="str">
        <f>IF(E38=0,"",(F38-E38)/E38)</f>
        <v/>
      </c>
      <c r="H38" s="179">
        <f t="shared" si="8"/>
        <v>0</v>
      </c>
      <c r="I38" s="198"/>
      <c r="J38" s="198"/>
      <c r="K38" s="198"/>
    </row>
    <row r="39" spans="1:11" x14ac:dyDescent="0.25">
      <c r="A39" s="196"/>
      <c r="B39" s="349"/>
      <c r="C39" s="17" t="s">
        <v>58</v>
      </c>
      <c r="D39" s="196" t="s">
        <v>212</v>
      </c>
      <c r="E39" s="95">
        <v>22014</v>
      </c>
      <c r="F39" s="71">
        <v>22062</v>
      </c>
      <c r="G39" s="197"/>
      <c r="H39" s="179">
        <f t="shared" si="8"/>
        <v>48</v>
      </c>
      <c r="I39" s="198"/>
      <c r="J39" s="198"/>
      <c r="K39" s="198"/>
    </row>
    <row r="40" spans="1:11" x14ac:dyDescent="0.25">
      <c r="A40" s="196"/>
      <c r="B40" s="349"/>
      <c r="C40" s="17" t="s">
        <v>60</v>
      </c>
      <c r="D40" s="196" t="s">
        <v>221</v>
      </c>
      <c r="E40" s="95">
        <v>0</v>
      </c>
      <c r="F40" s="71">
        <v>0</v>
      </c>
      <c r="G40" s="197" t="str">
        <f t="shared" ref="G40:G45" si="9">IF(E40=0,"",(F40-E40)/E40)</f>
        <v/>
      </c>
      <c r="H40" s="179">
        <f t="shared" si="8"/>
        <v>0</v>
      </c>
      <c r="I40" s="198"/>
      <c r="J40" s="198"/>
      <c r="K40" s="198"/>
    </row>
    <row r="41" spans="1:11" x14ac:dyDescent="0.25">
      <c r="A41" s="196"/>
      <c r="B41" s="349"/>
      <c r="C41" s="17" t="s">
        <v>72</v>
      </c>
      <c r="D41" s="196" t="s">
        <v>222</v>
      </c>
      <c r="E41" s="95">
        <v>0</v>
      </c>
      <c r="F41" s="71">
        <v>0</v>
      </c>
      <c r="G41" s="197" t="str">
        <f t="shared" si="9"/>
        <v/>
      </c>
      <c r="H41" s="179">
        <f t="shared" si="8"/>
        <v>0</v>
      </c>
      <c r="I41" s="198"/>
      <c r="J41" s="198"/>
      <c r="K41" s="198"/>
    </row>
    <row r="42" spans="1:11" s="204" customFormat="1" ht="30.75" customHeight="1" x14ac:dyDescent="0.25">
      <c r="A42" s="211"/>
      <c r="B42" s="211" t="s">
        <v>223</v>
      </c>
      <c r="E42" s="212">
        <f>SUM(E34:E41)</f>
        <v>22014</v>
      </c>
      <c r="F42" s="213">
        <f>SUM(F34:F41)</f>
        <v>22062</v>
      </c>
      <c r="G42" s="214">
        <f t="shared" si="9"/>
        <v>2.1804306350504225E-3</v>
      </c>
      <c r="H42" s="179">
        <f t="shared" si="8"/>
        <v>48</v>
      </c>
      <c r="I42" s="215"/>
      <c r="J42" s="215"/>
      <c r="K42" s="215"/>
    </row>
    <row r="43" spans="1:11" x14ac:dyDescent="0.25">
      <c r="A43" s="193">
        <v>5</v>
      </c>
      <c r="B43" s="196" t="s">
        <v>224</v>
      </c>
      <c r="C43" s="196" t="s">
        <v>64</v>
      </c>
      <c r="D43" s="196" t="s">
        <v>225</v>
      </c>
      <c r="E43" s="95">
        <v>277</v>
      </c>
      <c r="F43" s="71">
        <f>1249-1045</f>
        <v>204</v>
      </c>
      <c r="G43" s="197">
        <f t="shared" si="9"/>
        <v>-0.26353790613718414</v>
      </c>
      <c r="H43" s="179">
        <f t="shared" si="8"/>
        <v>-73</v>
      </c>
      <c r="I43" s="198" t="s">
        <v>369</v>
      </c>
      <c r="J43" s="198"/>
      <c r="K43" s="198"/>
    </row>
    <row r="44" spans="1:11" x14ac:dyDescent="0.25">
      <c r="A44" s="196"/>
      <c r="B44" s="196"/>
      <c r="C44" s="196" t="s">
        <v>52</v>
      </c>
      <c r="D44" s="196" t="s">
        <v>61</v>
      </c>
      <c r="E44" s="95">
        <v>0</v>
      </c>
      <c r="F44" s="71">
        <v>1045</v>
      </c>
      <c r="G44" s="197" t="str">
        <f t="shared" si="9"/>
        <v/>
      </c>
      <c r="H44" s="179">
        <f t="shared" si="8"/>
        <v>1045</v>
      </c>
      <c r="I44" s="198"/>
      <c r="J44" s="198"/>
      <c r="K44" s="198"/>
    </row>
    <row r="45" spans="1:11" x14ac:dyDescent="0.25">
      <c r="A45" s="196"/>
      <c r="B45" s="193" t="s">
        <v>226</v>
      </c>
      <c r="C45" s="196"/>
      <c r="D45" s="196"/>
      <c r="E45" s="199">
        <f>SUM(E43:E44)</f>
        <v>277</v>
      </c>
      <c r="F45" s="200">
        <f>SUM(F43:F44)</f>
        <v>1249</v>
      </c>
      <c r="G45" s="197">
        <f t="shared" si="9"/>
        <v>3.5090252707581229</v>
      </c>
      <c r="H45" s="179">
        <f t="shared" si="8"/>
        <v>972</v>
      </c>
      <c r="I45" s="198"/>
      <c r="J45" s="198"/>
      <c r="K45" s="198"/>
    </row>
    <row r="46" spans="1:11" x14ac:dyDescent="0.25">
      <c r="A46" s="196"/>
      <c r="B46" s="193"/>
      <c r="C46" s="193"/>
      <c r="D46" s="193"/>
      <c r="E46" s="201"/>
      <c r="F46" s="202"/>
      <c r="G46" s="197"/>
      <c r="H46" s="197"/>
      <c r="I46" s="198"/>
      <c r="J46" s="198"/>
      <c r="K46" s="198"/>
    </row>
    <row r="47" spans="1:11" ht="15.75" thickBot="1" x14ac:dyDescent="0.3">
      <c r="A47" s="196"/>
      <c r="B47" s="193" t="s">
        <v>227</v>
      </c>
      <c r="C47" s="196"/>
      <c r="D47" s="196"/>
      <c r="E47" s="216">
        <f>E32-E42-E45</f>
        <v>27228</v>
      </c>
      <c r="F47" s="217">
        <f>F32-F42-F45</f>
        <v>24770</v>
      </c>
      <c r="G47" s="197">
        <f>IF(E47=0,"",(F47-E47)/E47)</f>
        <v>-9.0274717202879384E-2</v>
      </c>
      <c r="H47" s="179">
        <f>+F47-E47</f>
        <v>-2458</v>
      </c>
      <c r="I47" s="198"/>
      <c r="J47" s="198"/>
      <c r="K47" s="198"/>
    </row>
    <row r="48" spans="1:11" ht="15.75" thickTop="1" x14ac:dyDescent="0.25">
      <c r="A48" s="196"/>
      <c r="B48" s="196"/>
      <c r="C48" s="196"/>
      <c r="D48" s="196"/>
      <c r="E48" s="207"/>
      <c r="F48" s="208"/>
      <c r="G48" s="197"/>
      <c r="H48" s="197"/>
      <c r="I48" s="198"/>
      <c r="J48" s="198"/>
      <c r="K48" s="198"/>
    </row>
    <row r="49" spans="1:11" ht="25.5" customHeight="1" x14ac:dyDescent="0.25">
      <c r="A49" s="193">
        <v>9</v>
      </c>
      <c r="B49" s="196" t="s">
        <v>228</v>
      </c>
      <c r="C49" s="196" t="s">
        <v>64</v>
      </c>
      <c r="D49" s="203" t="s">
        <v>229</v>
      </c>
      <c r="E49" s="95">
        <v>0</v>
      </c>
      <c r="F49" s="71">
        <v>0</v>
      </c>
      <c r="G49" s="197" t="str">
        <f>IF(E49=0,"",(F49-E49)/E49)</f>
        <v/>
      </c>
      <c r="H49" s="179">
        <f t="shared" ref="H49:H50" si="10">+F49-E49</f>
        <v>0</v>
      </c>
      <c r="I49" s="198"/>
      <c r="J49" s="198"/>
      <c r="K49" s="198"/>
    </row>
    <row r="50" spans="1:11" x14ac:dyDescent="0.25">
      <c r="A50" s="196"/>
      <c r="B50" s="196"/>
      <c r="C50" s="196" t="s">
        <v>50</v>
      </c>
      <c r="D50" s="203" t="s">
        <v>230</v>
      </c>
      <c r="E50" s="95">
        <v>0</v>
      </c>
      <c r="F50" s="71"/>
      <c r="G50" s="197" t="str">
        <f>IF(E50=0,"",(F50-E50)/E50)</f>
        <v/>
      </c>
      <c r="H50" s="179">
        <f t="shared" si="10"/>
        <v>0</v>
      </c>
      <c r="I50" s="198"/>
      <c r="J50" s="198"/>
      <c r="K50" s="198"/>
    </row>
    <row r="51" spans="1:11" x14ac:dyDescent="0.25">
      <c r="A51" s="196"/>
      <c r="B51" s="196"/>
      <c r="C51" s="196"/>
      <c r="D51" s="203"/>
      <c r="E51" s="218"/>
      <c r="F51" s="219"/>
      <c r="G51" s="197"/>
      <c r="H51" s="197"/>
      <c r="I51" s="198"/>
      <c r="J51" s="198"/>
      <c r="K51" s="198"/>
    </row>
    <row r="52" spans="1:11" ht="26.25" customHeight="1" x14ac:dyDescent="0.25">
      <c r="A52" s="196">
        <v>10</v>
      </c>
      <c r="B52" s="196" t="s">
        <v>231</v>
      </c>
      <c r="C52" s="196" t="s">
        <v>64</v>
      </c>
      <c r="D52" s="203" t="s">
        <v>232</v>
      </c>
      <c r="E52" s="95">
        <v>3706</v>
      </c>
      <c r="F52" s="71">
        <v>2531</v>
      </c>
      <c r="G52" s="197">
        <f>IF(E52=0,"",(F52-E52)/E52)</f>
        <v>-0.31705342687533727</v>
      </c>
      <c r="H52" s="179">
        <f t="shared" ref="H52:H53" si="11">+F52-E52</f>
        <v>-1175</v>
      </c>
      <c r="I52" s="198"/>
      <c r="J52" s="198"/>
      <c r="K52" s="198"/>
    </row>
    <row r="53" spans="1:11" x14ac:dyDescent="0.25">
      <c r="A53" s="196"/>
      <c r="B53" s="196"/>
      <c r="C53" s="196" t="s">
        <v>50</v>
      </c>
      <c r="D53" s="196" t="s">
        <v>233</v>
      </c>
      <c r="E53" s="95">
        <v>23522</v>
      </c>
      <c r="F53" s="71">
        <v>22239</v>
      </c>
      <c r="G53" s="197">
        <f>IF(E53=0,"",(F53-E53)/E53)</f>
        <v>-5.4544681574696031E-2</v>
      </c>
      <c r="H53" s="179">
        <f t="shared" si="11"/>
        <v>-1283</v>
      </c>
      <c r="I53" s="198" t="s">
        <v>370</v>
      </c>
      <c r="J53" s="198"/>
      <c r="K53" s="198"/>
    </row>
    <row r="54" spans="1:11" x14ac:dyDescent="0.25">
      <c r="A54" s="196"/>
      <c r="B54" s="196"/>
      <c r="C54" s="196"/>
      <c r="D54" s="196"/>
      <c r="E54" s="201"/>
      <c r="F54" s="220"/>
      <c r="G54" s="197"/>
      <c r="H54" s="197"/>
      <c r="I54" s="198"/>
      <c r="J54" s="198"/>
      <c r="K54" s="198"/>
    </row>
    <row r="55" spans="1:11" x14ac:dyDescent="0.25">
      <c r="A55" s="196">
        <v>11</v>
      </c>
      <c r="B55" s="196" t="s">
        <v>234</v>
      </c>
      <c r="C55" s="196"/>
      <c r="D55" s="196"/>
      <c r="E55" s="95">
        <v>0</v>
      </c>
      <c r="F55" s="71">
        <v>0</v>
      </c>
      <c r="G55" s="197" t="str">
        <f>IF(E55=0,"",(F55-E55)/E55)</f>
        <v/>
      </c>
      <c r="H55" s="179">
        <f>+F55-E55</f>
        <v>0</v>
      </c>
      <c r="I55" s="198"/>
      <c r="J55" s="198"/>
      <c r="K55" s="198"/>
    </row>
    <row r="56" spans="1:11" x14ac:dyDescent="0.25">
      <c r="A56" s="196"/>
      <c r="B56" s="196"/>
      <c r="C56" s="196"/>
      <c r="D56" s="196"/>
      <c r="E56" s="201"/>
      <c r="F56" s="220"/>
      <c r="G56" s="197"/>
      <c r="H56" s="197"/>
      <c r="I56" s="198"/>
      <c r="J56" s="198"/>
      <c r="K56" s="198"/>
    </row>
    <row r="57" spans="1:11" ht="15.75" thickBot="1" x14ac:dyDescent="0.3">
      <c r="A57" s="196"/>
      <c r="B57" s="193" t="s">
        <v>235</v>
      </c>
      <c r="C57" s="196"/>
      <c r="D57" s="196"/>
      <c r="E57" s="216">
        <f>SUM(E49:E55)</f>
        <v>27228</v>
      </c>
      <c r="F57" s="217">
        <f>SUM(F49:F55)</f>
        <v>24770</v>
      </c>
      <c r="G57" s="197">
        <f>IF(E57=0,"",(F57-E57)/E57)</f>
        <v>-9.0274717202879384E-2</v>
      </c>
      <c r="H57" s="179">
        <f>+F57-E57</f>
        <v>-2458</v>
      </c>
      <c r="I57" s="198"/>
      <c r="J57" s="198"/>
      <c r="K57" s="198"/>
    </row>
    <row r="58" spans="1:11" ht="15.75" thickTop="1" x14ac:dyDescent="0.25">
      <c r="A58" s="196"/>
      <c r="B58" s="196"/>
      <c r="C58" s="196"/>
      <c r="D58" s="196"/>
      <c r="E58" s="201"/>
      <c r="F58" s="202"/>
      <c r="I58" s="195"/>
      <c r="J58" s="195"/>
      <c r="K58" s="195"/>
    </row>
    <row r="59" spans="1:11" x14ac:dyDescent="0.25">
      <c r="D59" s="17" t="s">
        <v>236</v>
      </c>
      <c r="E59" s="221">
        <f t="shared" ref="E59:F59" si="12">+E57-E47</f>
        <v>0</v>
      </c>
      <c r="F59" s="222">
        <f t="shared" si="12"/>
        <v>0</v>
      </c>
      <c r="H59" s="179">
        <f>+F59-E59</f>
        <v>0</v>
      </c>
    </row>
    <row r="60" spans="1:11" x14ac:dyDescent="0.25">
      <c r="E60" s="223"/>
      <c r="F60" s="299" t="str">
        <f>IF(F57=F47,"","The balance sheet does not balance")</f>
        <v/>
      </c>
    </row>
  </sheetData>
  <sheetProtection algorithmName="SHA-512" hashValue="/MAlgeYa5vf5Ioph25eH7L/gA2kbJLHeHWvVOrU/FDqPXigmnQmrAGGNvf5dezsKZKWAr+5J1gUiw1Uzl3wDKw==" saltValue="lkzUXP0j82etbcmKGXTzDw==" spinCount="100000" sheet="1" objects="1" scenarios="1"/>
  <mergeCells count="4">
    <mergeCell ref="B18:B21"/>
    <mergeCell ref="B34:B41"/>
    <mergeCell ref="I4:K4"/>
    <mergeCell ref="I5:K5"/>
  </mergeCells>
  <phoneticPr fontId="4" type="noConversion"/>
  <pageMargins left="0.3" right="0.36" top="0.21" bottom="0.28999999999999998" header="0.24" footer="0.24"/>
  <pageSetup paperSize="9" scale="49" orientation="landscape" r:id="rId1"/>
  <headerFooter alignWithMargins="0"/>
  <ignoredErrors>
    <ignoredError sqref="E4:F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51"/>
  <sheetViews>
    <sheetView topLeftCell="A17" zoomScale="110" zoomScaleNormal="110" workbookViewId="0">
      <selection activeCell="L35" sqref="L35"/>
    </sheetView>
  </sheetViews>
  <sheetFormatPr defaultColWidth="8.5703125" defaultRowHeight="12.75" x14ac:dyDescent="0.2"/>
  <cols>
    <col min="1" max="1" width="3" style="271" customWidth="1"/>
    <col min="2" max="2" width="23.5703125" style="271" customWidth="1"/>
    <col min="3" max="3" width="3.5703125" style="271" customWidth="1"/>
    <col min="4" max="4" width="53" style="271" bestFit="1" customWidth="1"/>
    <col min="5" max="5" width="9.42578125" style="273" customWidth="1"/>
    <col min="6" max="6" width="9.5703125" style="273" customWidth="1"/>
    <col min="7" max="8" width="11.5703125" style="273" customWidth="1"/>
  </cols>
  <sheetData>
    <row r="2" spans="1:8" ht="17.25" x14ac:dyDescent="0.3">
      <c r="B2" s="272" t="str">
        <f>Declaration!C3</f>
        <v>South Lanarkshire College</v>
      </c>
    </row>
    <row r="4" spans="1:8" ht="25.5" x14ac:dyDescent="0.2">
      <c r="A4" s="274"/>
      <c r="B4" s="275" t="s">
        <v>237</v>
      </c>
      <c r="C4" s="274"/>
      <c r="D4" s="274"/>
      <c r="E4" s="276" t="str">
        <f>SOCIE!D3</f>
        <v>FFR     2024-25</v>
      </c>
      <c r="F4" s="276" t="str">
        <f>SOCIE!E3</f>
        <v>MYR    2024-25</v>
      </c>
      <c r="G4" s="277" t="s">
        <v>238</v>
      </c>
      <c r="H4" s="278"/>
    </row>
    <row r="5" spans="1:8" x14ac:dyDescent="0.2">
      <c r="A5" s="279"/>
      <c r="E5" s="280" t="s">
        <v>15</v>
      </c>
      <c r="F5" s="280" t="s">
        <v>15</v>
      </c>
      <c r="G5" s="280" t="s">
        <v>15</v>
      </c>
      <c r="H5" s="281" t="s">
        <v>16</v>
      </c>
    </row>
    <row r="6" spans="1:8" x14ac:dyDescent="0.2">
      <c r="A6" s="279"/>
    </row>
    <row r="7" spans="1:8" x14ac:dyDescent="0.2">
      <c r="A7" s="282">
        <v>1</v>
      </c>
      <c r="B7" s="283" t="s">
        <v>198</v>
      </c>
      <c r="C7" s="284" t="s">
        <v>64</v>
      </c>
      <c r="D7" s="284" t="s">
        <v>239</v>
      </c>
      <c r="E7" s="285">
        <f>'Balance sheet'!E11</f>
        <v>8</v>
      </c>
      <c r="F7" s="285">
        <f>'Balance sheet'!F11</f>
        <v>18</v>
      </c>
      <c r="G7" s="286">
        <f t="shared" ref="G7:G32" si="0">E7-F7</f>
        <v>-10</v>
      </c>
      <c r="H7" s="287">
        <f t="shared" ref="H7:H24" si="1">IF(F7=0,"",(E7-F7)/(F7))</f>
        <v>-0.55555555555555558</v>
      </c>
    </row>
    <row r="8" spans="1:8" x14ac:dyDescent="0.2">
      <c r="A8" s="282"/>
      <c r="B8" s="284"/>
      <c r="C8" s="284" t="s">
        <v>50</v>
      </c>
      <c r="D8" s="284" t="s">
        <v>200</v>
      </c>
      <c r="E8" s="285">
        <f>'Balance sheet'!E12</f>
        <v>1736</v>
      </c>
      <c r="F8" s="285">
        <f>'Balance sheet'!F12</f>
        <v>712</v>
      </c>
      <c r="G8" s="286">
        <f t="shared" si="0"/>
        <v>1024</v>
      </c>
      <c r="H8" s="287">
        <f t="shared" si="1"/>
        <v>1.4382022471910112</v>
      </c>
    </row>
    <row r="9" spans="1:8" x14ac:dyDescent="0.2">
      <c r="A9" s="282"/>
      <c r="B9" s="284"/>
      <c r="C9" s="284" t="s">
        <v>52</v>
      </c>
      <c r="D9" s="284" t="s">
        <v>196</v>
      </c>
      <c r="E9" s="285">
        <f>'Balance sheet'!E13</f>
        <v>0</v>
      </c>
      <c r="F9" s="285">
        <f>'Balance sheet'!F13</f>
        <v>0</v>
      </c>
      <c r="G9" s="286">
        <f t="shared" si="0"/>
        <v>0</v>
      </c>
      <c r="H9" s="287" t="str">
        <f t="shared" si="1"/>
        <v/>
      </c>
    </row>
    <row r="10" spans="1:8" ht="13.5" thickBot="1" x14ac:dyDescent="0.25">
      <c r="C10" s="271" t="s">
        <v>54</v>
      </c>
      <c r="D10" s="271" t="s">
        <v>201</v>
      </c>
      <c r="E10" s="285">
        <f>'Balance sheet'!E14</f>
        <v>823</v>
      </c>
      <c r="F10" s="285">
        <f>'Balance sheet'!F14</f>
        <v>2002</v>
      </c>
      <c r="G10" s="286">
        <f t="shared" si="0"/>
        <v>-1179</v>
      </c>
      <c r="H10" s="287">
        <f t="shared" si="1"/>
        <v>-0.5889110889110889</v>
      </c>
    </row>
    <row r="11" spans="1:8" ht="13.5" thickBot="1" x14ac:dyDescent="0.25">
      <c r="B11" s="279" t="s">
        <v>240</v>
      </c>
      <c r="E11" s="288">
        <f>SUM(E7:E10)</f>
        <v>2567</v>
      </c>
      <c r="F11" s="288">
        <f>SUM(F7:F10)</f>
        <v>2732</v>
      </c>
      <c r="G11" s="286">
        <f t="shared" si="0"/>
        <v>-165</v>
      </c>
      <c r="H11" s="287">
        <f t="shared" si="1"/>
        <v>-6.0395314787701319E-2</v>
      </c>
    </row>
    <row r="12" spans="1:8" x14ac:dyDescent="0.2">
      <c r="A12" s="279"/>
      <c r="E12" s="286"/>
      <c r="F12" s="286"/>
      <c r="G12" s="286"/>
      <c r="H12" s="287"/>
    </row>
    <row r="13" spans="1:8" x14ac:dyDescent="0.2">
      <c r="A13" s="279">
        <v>2</v>
      </c>
      <c r="B13" s="279" t="s">
        <v>241</v>
      </c>
      <c r="E13" s="286"/>
      <c r="F13" s="286"/>
      <c r="G13" s="286"/>
      <c r="H13" s="287"/>
    </row>
    <row r="14" spans="1:8" x14ac:dyDescent="0.2">
      <c r="A14" s="275"/>
      <c r="B14" s="289"/>
      <c r="C14" s="274" t="s">
        <v>64</v>
      </c>
      <c r="D14" s="274" t="s">
        <v>205</v>
      </c>
      <c r="E14" s="285">
        <f>'Balance sheet'!E18</f>
        <v>0</v>
      </c>
      <c r="F14" s="285">
        <f>'Balance sheet'!F18</f>
        <v>0</v>
      </c>
      <c r="G14" s="286">
        <f t="shared" si="0"/>
        <v>0</v>
      </c>
      <c r="H14" s="287" t="str">
        <f t="shared" si="1"/>
        <v/>
      </c>
    </row>
    <row r="15" spans="1:8" x14ac:dyDescent="0.2">
      <c r="A15" s="275"/>
      <c r="B15" s="289"/>
      <c r="C15" s="274" t="s">
        <v>50</v>
      </c>
      <c r="D15" s="274" t="s">
        <v>206</v>
      </c>
      <c r="E15" s="285">
        <f>'Balance sheet'!E19</f>
        <v>0</v>
      </c>
      <c r="F15" s="285">
        <f>'Balance sheet'!F19</f>
        <v>0</v>
      </c>
      <c r="G15" s="286">
        <f t="shared" si="0"/>
        <v>0</v>
      </c>
      <c r="H15" s="287" t="str">
        <f t="shared" si="1"/>
        <v/>
      </c>
    </row>
    <row r="16" spans="1:8" ht="12.75" customHeight="1" x14ac:dyDescent="0.2">
      <c r="A16" s="275"/>
      <c r="B16" s="289"/>
      <c r="C16" s="274" t="s">
        <v>52</v>
      </c>
      <c r="D16" s="274" t="s">
        <v>207</v>
      </c>
      <c r="E16" s="285">
        <f>'Balance sheet'!E20</f>
        <v>0</v>
      </c>
      <c r="F16" s="285">
        <f>'Balance sheet'!F20</f>
        <v>0</v>
      </c>
      <c r="G16" s="286">
        <f t="shared" si="0"/>
        <v>0</v>
      </c>
      <c r="H16" s="287" t="str">
        <f t="shared" si="1"/>
        <v/>
      </c>
    </row>
    <row r="17" spans="1:8" x14ac:dyDescent="0.2">
      <c r="A17" s="279"/>
      <c r="C17" s="274" t="s">
        <v>54</v>
      </c>
      <c r="D17" s="289" t="s">
        <v>208</v>
      </c>
      <c r="E17" s="285">
        <f>'Balance sheet'!E21</f>
        <v>0</v>
      </c>
      <c r="F17" s="285">
        <f>'Balance sheet'!F21</f>
        <v>0</v>
      </c>
      <c r="G17" s="286">
        <f t="shared" si="0"/>
        <v>0</v>
      </c>
      <c r="H17" s="287" t="str">
        <f t="shared" si="1"/>
        <v/>
      </c>
    </row>
    <row r="18" spans="1:8" x14ac:dyDescent="0.2">
      <c r="A18" s="279"/>
      <c r="C18" s="274" t="s">
        <v>56</v>
      </c>
      <c r="D18" s="289" t="s">
        <v>209</v>
      </c>
      <c r="E18" s="285">
        <f>'Balance sheet'!E22</f>
        <v>0</v>
      </c>
      <c r="F18" s="285">
        <f>'Balance sheet'!F22</f>
        <v>0</v>
      </c>
      <c r="G18" s="286">
        <f t="shared" si="0"/>
        <v>0</v>
      </c>
      <c r="H18" s="287" t="str">
        <f t="shared" si="1"/>
        <v/>
      </c>
    </row>
    <row r="19" spans="1:8" x14ac:dyDescent="0.2">
      <c r="A19" s="279"/>
      <c r="C19" s="274" t="s">
        <v>58</v>
      </c>
      <c r="D19" s="274" t="s">
        <v>242</v>
      </c>
      <c r="E19" s="285">
        <f>'Balance sheet'!E23</f>
        <v>99</v>
      </c>
      <c r="F19" s="285">
        <f>'Balance sheet'!F23</f>
        <v>136</v>
      </c>
      <c r="G19" s="286">
        <f>E19-F19</f>
        <v>-37</v>
      </c>
      <c r="H19" s="287">
        <f>IF(F19=0,"",(E19-F19)/(F19))</f>
        <v>-0.27205882352941174</v>
      </c>
    </row>
    <row r="20" spans="1:8" ht="12.75" customHeight="1" x14ac:dyDescent="0.2">
      <c r="A20" s="279"/>
      <c r="C20" s="289" t="s">
        <v>60</v>
      </c>
      <c r="D20" s="274" t="s">
        <v>243</v>
      </c>
      <c r="E20" s="285">
        <v>0</v>
      </c>
      <c r="F20" s="290">
        <v>0</v>
      </c>
      <c r="G20" s="286">
        <f t="shared" si="0"/>
        <v>0</v>
      </c>
      <c r="H20" s="287" t="str">
        <f t="shared" si="1"/>
        <v/>
      </c>
    </row>
    <row r="21" spans="1:8" ht="13.5" thickBot="1" x14ac:dyDescent="0.25">
      <c r="A21" s="279"/>
      <c r="C21" s="274" t="s">
        <v>72</v>
      </c>
      <c r="D21" s="274" t="s">
        <v>213</v>
      </c>
      <c r="E21" s="285">
        <f>'Balance sheet'!E26</f>
        <v>1569</v>
      </c>
      <c r="F21" s="285">
        <f>'Balance sheet'!F26</f>
        <v>1534</v>
      </c>
      <c r="G21" s="286">
        <f t="shared" si="0"/>
        <v>35</v>
      </c>
      <c r="H21" s="287">
        <f t="shared" si="1"/>
        <v>2.2816166883963495E-2</v>
      </c>
    </row>
    <row r="22" spans="1:8" ht="13.5" thickBot="1" x14ac:dyDescent="0.25">
      <c r="A22" s="279"/>
      <c r="B22" s="279" t="s">
        <v>244</v>
      </c>
      <c r="C22" s="279"/>
      <c r="D22" s="279"/>
      <c r="E22" s="288">
        <f>SUM(E14:E21)</f>
        <v>1668</v>
      </c>
      <c r="F22" s="288">
        <f>SUM(F14:F21)</f>
        <v>1670</v>
      </c>
      <c r="G22" s="286">
        <f t="shared" si="0"/>
        <v>-2</v>
      </c>
      <c r="H22" s="287">
        <f t="shared" si="1"/>
        <v>-1.1976047904191617E-3</v>
      </c>
    </row>
    <row r="23" spans="1:8" ht="13.5" thickBot="1" x14ac:dyDescent="0.25">
      <c r="A23" s="279"/>
      <c r="E23" s="286"/>
      <c r="F23" s="286"/>
      <c r="G23" s="286"/>
      <c r="H23" s="287"/>
    </row>
    <row r="24" spans="1:8" ht="24.75" customHeight="1" thickBot="1" x14ac:dyDescent="0.3">
      <c r="A24" s="279"/>
      <c r="B24" s="291" t="s">
        <v>245</v>
      </c>
      <c r="C24" s="279"/>
      <c r="D24" s="279"/>
      <c r="E24" s="288">
        <f>E11-E22</f>
        <v>899</v>
      </c>
      <c r="F24" s="288">
        <f>F11-F22</f>
        <v>1062</v>
      </c>
      <c r="G24" s="286">
        <f t="shared" si="0"/>
        <v>-163</v>
      </c>
      <c r="H24" s="287">
        <f t="shared" si="1"/>
        <v>-0.15348399246704331</v>
      </c>
    </row>
    <row r="25" spans="1:8" ht="15.75" thickBot="1" x14ac:dyDescent="0.3">
      <c r="A25" s="279"/>
      <c r="B25" s="291" t="s">
        <v>246</v>
      </c>
      <c r="E25" s="292">
        <f>E11/E22</f>
        <v>1.5389688249400479</v>
      </c>
      <c r="F25" s="292">
        <f>F11/F22</f>
        <v>1.6359281437125748</v>
      </c>
      <c r="G25" s="286">
        <f t="shared" si="0"/>
        <v>-9.6959318772526837E-2</v>
      </c>
      <c r="H25" s="287"/>
    </row>
    <row r="26" spans="1:8" x14ac:dyDescent="0.2">
      <c r="E26" s="286"/>
      <c r="F26" s="286"/>
      <c r="G26" s="286"/>
      <c r="H26" s="287"/>
    </row>
    <row r="27" spans="1:8" x14ac:dyDescent="0.2">
      <c r="E27" s="286"/>
      <c r="F27" s="286"/>
      <c r="G27" s="286"/>
      <c r="H27" s="287"/>
    </row>
    <row r="28" spans="1:8" x14ac:dyDescent="0.2">
      <c r="B28" s="279" t="s">
        <v>247</v>
      </c>
      <c r="E28" s="286"/>
      <c r="F28" s="286"/>
      <c r="G28" s="286"/>
      <c r="H28" s="287"/>
    </row>
    <row r="29" spans="1:8" x14ac:dyDescent="0.2">
      <c r="E29" s="286"/>
      <c r="F29" s="286"/>
      <c r="G29" s="286"/>
      <c r="H29" s="287"/>
    </row>
    <row r="30" spans="1:8" x14ac:dyDescent="0.2">
      <c r="B30" s="275" t="s">
        <v>248</v>
      </c>
      <c r="E30" s="285">
        <v>0</v>
      </c>
      <c r="F30" s="290">
        <v>0</v>
      </c>
      <c r="G30" s="286">
        <f t="shared" si="0"/>
        <v>0</v>
      </c>
      <c r="H30" s="287"/>
    </row>
    <row r="31" spans="1:8" x14ac:dyDescent="0.2">
      <c r="B31" s="279" t="s">
        <v>249</v>
      </c>
      <c r="E31" s="285">
        <v>0</v>
      </c>
      <c r="F31" s="290">
        <v>0</v>
      </c>
      <c r="G31" s="286">
        <f t="shared" si="0"/>
        <v>0</v>
      </c>
      <c r="H31" s="287"/>
    </row>
    <row r="32" spans="1:8" x14ac:dyDescent="0.2">
      <c r="B32" s="279" t="s">
        <v>250</v>
      </c>
      <c r="E32" s="285">
        <v>0</v>
      </c>
      <c r="F32" s="290">
        <v>0</v>
      </c>
      <c r="G32" s="286">
        <f t="shared" si="0"/>
        <v>0</v>
      </c>
      <c r="H32" s="287"/>
    </row>
    <row r="33" spans="1:8" ht="13.5" thickBot="1" x14ac:dyDescent="0.25">
      <c r="E33" s="286"/>
      <c r="F33" s="286"/>
      <c r="G33" s="286"/>
      <c r="H33" s="287"/>
    </row>
    <row r="34" spans="1:8" ht="15.75" thickBot="1" x14ac:dyDescent="0.3">
      <c r="B34" s="291" t="s">
        <v>251</v>
      </c>
      <c r="E34" s="288">
        <f>E24-SUM(E30:E32)</f>
        <v>899</v>
      </c>
      <c r="F34" s="288">
        <f>F24-SUM(F30:F32)</f>
        <v>1062</v>
      </c>
      <c r="G34" s="286">
        <f t="shared" ref="G34" si="2">E34-F34</f>
        <v>-163</v>
      </c>
      <c r="H34" s="287"/>
    </row>
    <row r="35" spans="1:8" x14ac:dyDescent="0.2">
      <c r="E35" s="286"/>
      <c r="F35" s="286"/>
      <c r="G35" s="286"/>
      <c r="H35" s="287"/>
    </row>
    <row r="39" spans="1:8" ht="15" x14ac:dyDescent="0.25">
      <c r="A39" s="279">
        <v>3</v>
      </c>
      <c r="B39" s="302" t="s">
        <v>252</v>
      </c>
    </row>
    <row r="40" spans="1:8" ht="15" x14ac:dyDescent="0.25">
      <c r="B40" s="302"/>
    </row>
    <row r="41" spans="1:8" ht="15" x14ac:dyDescent="0.25">
      <c r="B41" s="303" t="s">
        <v>253</v>
      </c>
      <c r="E41" s="305">
        <f>'Balance sheet'!E14</f>
        <v>823</v>
      </c>
      <c r="F41" s="305">
        <f>'Balance sheet'!F14</f>
        <v>2002</v>
      </c>
    </row>
    <row r="42" spans="1:8" ht="15" x14ac:dyDescent="0.25">
      <c r="B42" s="303"/>
      <c r="E42" s="303"/>
      <c r="F42" s="303"/>
    </row>
    <row r="43" spans="1:8" ht="15" x14ac:dyDescent="0.25">
      <c r="B43" s="304" t="s">
        <v>254</v>
      </c>
      <c r="E43" s="303"/>
      <c r="F43" s="303"/>
    </row>
    <row r="44" spans="1:8" ht="15" x14ac:dyDescent="0.25">
      <c r="B44" s="303" t="s">
        <v>255</v>
      </c>
      <c r="E44" s="306">
        <v>0</v>
      </c>
      <c r="F44" s="306">
        <v>0</v>
      </c>
    </row>
    <row r="45" spans="1:8" ht="15" x14ac:dyDescent="0.25">
      <c r="B45" s="303" t="s">
        <v>256</v>
      </c>
      <c r="E45" s="307">
        <v>0</v>
      </c>
      <c r="F45" s="307">
        <v>0</v>
      </c>
    </row>
    <row r="46" spans="1:8" ht="15" x14ac:dyDescent="0.25">
      <c r="B46" s="303" t="s">
        <v>257</v>
      </c>
      <c r="E46" s="307">
        <v>0</v>
      </c>
      <c r="F46" s="307">
        <v>0</v>
      </c>
    </row>
    <row r="47" spans="1:8" ht="15" x14ac:dyDescent="0.25">
      <c r="B47" s="303" t="s">
        <v>258</v>
      </c>
      <c r="E47" s="307">
        <v>0</v>
      </c>
      <c r="F47" s="307">
        <v>0</v>
      </c>
    </row>
    <row r="48" spans="1:8" ht="15" x14ac:dyDescent="0.25">
      <c r="B48" s="303" t="s">
        <v>259</v>
      </c>
      <c r="E48" s="307">
        <v>0</v>
      </c>
      <c r="F48" s="307">
        <v>0</v>
      </c>
    </row>
    <row r="49" spans="2:6" ht="15" x14ac:dyDescent="0.25">
      <c r="B49" s="303" t="s">
        <v>260</v>
      </c>
      <c r="E49" s="307">
        <v>0</v>
      </c>
      <c r="F49" s="307">
        <v>0</v>
      </c>
    </row>
    <row r="50" spans="2:6" ht="15.75" thickBot="1" x14ac:dyDescent="0.3">
      <c r="E50" s="308">
        <f>SUM(E44:E49)</f>
        <v>0</v>
      </c>
      <c r="F50" s="308">
        <f>SUM(F44:F49)</f>
        <v>0</v>
      </c>
    </row>
    <row r="51" spans="2:6" ht="13.5" thickTop="1" x14ac:dyDescent="0.2"/>
  </sheetData>
  <sheetProtection algorithmName="SHA-512" hashValue="8DBazoZJY3lunu0xD2TXJTFdkC5/rHiXz6loKth9MNsIjRzTdHqQjq0xKHqlD5qpCzj3CvI3rurE5e40D7PuaA==" saltValue="0zHxen2cWnONzlybjf0Klw==" spinCount="100000" sheet="1" objects="1" scenarios="1"/>
  <conditionalFormatting sqref="H7:H35">
    <cfRule type="expression" dxfId="2" priority="1" stopIfTrue="1">
      <formula>#REF!&gt;0</formula>
    </cfRule>
  </conditionalFormatting>
  <dataValidations count="1">
    <dataValidation type="whole" allowBlank="1" showInputMessage="1" showErrorMessage="1" sqref="F23 F33 E14:F21 E30:F32 F26:F29 E7:F10 F12:F13 F35 G7:G35" xr:uid="{00000000-0002-0000-0600-000000000000}">
      <formula1>-1E+30</formula1>
      <formula2>1E+30</formula2>
    </dataValidation>
  </dataValidations>
  <pageMargins left="0.7" right="0.7" top="0.75" bottom="0.75" header="0.3" footer="0.3"/>
  <pageSetup paperSize="9" orientation="portrait" horizontalDpi="300" verticalDpi="300" r:id="rId1"/>
  <ignoredErrors>
    <ignoredError sqref="E5:G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J64"/>
  <sheetViews>
    <sheetView showGridLines="0" zoomScale="110" zoomScaleNormal="110" workbookViewId="0">
      <selection activeCell="J65" sqref="J65"/>
    </sheetView>
  </sheetViews>
  <sheetFormatPr defaultColWidth="9.42578125" defaultRowHeight="15" x14ac:dyDescent="0.25"/>
  <cols>
    <col min="1" max="1" width="3.5703125" style="224" customWidth="1"/>
    <col min="2" max="2" width="5.5703125" style="225" customWidth="1"/>
    <col min="3" max="3" width="57.42578125" style="225" bestFit="1" customWidth="1"/>
    <col min="4" max="4" width="7.5703125" style="225" customWidth="1"/>
    <col min="5" max="6" width="9.42578125" style="225" customWidth="1"/>
    <col min="7" max="7" width="3.5703125" style="226" customWidth="1"/>
    <col min="8" max="9" width="11.5703125" style="226" customWidth="1"/>
    <col min="10" max="10" width="43.5703125" style="225" customWidth="1"/>
    <col min="11" max="16384" width="9.42578125" style="225"/>
  </cols>
  <sheetData>
    <row r="2" spans="1:10" x14ac:dyDescent="0.25">
      <c r="A2" s="224" t="str">
        <f>Declaration!C3</f>
        <v>South Lanarkshire College</v>
      </c>
    </row>
    <row r="3" spans="1:10" ht="30" x14ac:dyDescent="0.25">
      <c r="E3" s="227" t="str">
        <f>SOCIE!D3</f>
        <v>FFR     2024-25</v>
      </c>
      <c r="F3" s="227" t="str">
        <f>SOCIE!E3</f>
        <v>MYR    2024-25</v>
      </c>
      <c r="G3" s="228"/>
      <c r="H3" s="229" t="str">
        <f>SOCIE!G3</f>
        <v>Variance</v>
      </c>
      <c r="I3" s="229" t="str">
        <f>SOCIE!H3</f>
        <v>Variance</v>
      </c>
      <c r="J3" s="229"/>
    </row>
    <row r="4" spans="1:10" x14ac:dyDescent="0.25">
      <c r="A4" s="224" t="s">
        <v>261</v>
      </c>
      <c r="E4" s="230" t="s">
        <v>15</v>
      </c>
      <c r="F4" s="230" t="s">
        <v>15</v>
      </c>
      <c r="G4" s="231"/>
      <c r="H4" s="232" t="str">
        <f>+SOCIE!G4</f>
        <v>%</v>
      </c>
      <c r="I4" s="232" t="str">
        <f>+SOCIE!H4</f>
        <v>£</v>
      </c>
      <c r="J4" s="227" t="s">
        <v>14</v>
      </c>
    </row>
    <row r="6" spans="1:10" x14ac:dyDescent="0.25">
      <c r="A6" s="224">
        <v>1</v>
      </c>
      <c r="B6" s="224" t="s">
        <v>262</v>
      </c>
      <c r="G6" s="225"/>
      <c r="H6" s="225"/>
      <c r="I6" s="225"/>
    </row>
    <row r="7" spans="1:10" x14ac:dyDescent="0.25">
      <c r="B7" s="233" t="s">
        <v>64</v>
      </c>
      <c r="C7" s="225" t="s">
        <v>263</v>
      </c>
      <c r="E7" s="234">
        <f>+SOCIE!D42</f>
        <v>-1301</v>
      </c>
      <c r="F7" s="234">
        <f>+SOCIE!E42</f>
        <v>-2002</v>
      </c>
      <c r="G7" s="235"/>
      <c r="H7" s="236">
        <f>IF(E7=0,"",(F7-E7)/(E7))</f>
        <v>0.53881629515757112</v>
      </c>
      <c r="I7" s="179">
        <f>+F7-E7</f>
        <v>-701</v>
      </c>
      <c r="J7" s="237"/>
    </row>
    <row r="8" spans="1:10" x14ac:dyDescent="0.25">
      <c r="E8" s="233"/>
      <c r="F8" s="233"/>
      <c r="G8" s="235"/>
      <c r="H8" s="236"/>
      <c r="I8" s="179"/>
      <c r="J8" s="238"/>
    </row>
    <row r="9" spans="1:10" x14ac:dyDescent="0.25">
      <c r="A9" s="224">
        <v>2</v>
      </c>
      <c r="B9" s="224" t="s">
        <v>264</v>
      </c>
      <c r="E9" s="233"/>
      <c r="F9" s="233"/>
      <c r="G9" s="235"/>
      <c r="H9" s="236"/>
      <c r="I9" s="179"/>
      <c r="J9" s="238"/>
    </row>
    <row r="10" spans="1:10" x14ac:dyDescent="0.25">
      <c r="B10" s="233" t="s">
        <v>64</v>
      </c>
      <c r="C10" s="225" t="s">
        <v>33</v>
      </c>
      <c r="E10" s="239">
        <f>SOCIE!D23</f>
        <v>1579</v>
      </c>
      <c r="F10" s="239">
        <f>SOCIE!E23</f>
        <v>1787</v>
      </c>
      <c r="G10" s="235"/>
      <c r="H10" s="236">
        <f t="shared" ref="H10:H24" si="0">IF(E10=0,"",(F10-E10)/(E10))</f>
        <v>0.1317289423685877</v>
      </c>
      <c r="I10" s="179">
        <f t="shared" ref="I10:I61" si="1">+F10-E10</f>
        <v>208</v>
      </c>
      <c r="J10" s="240"/>
    </row>
    <row r="11" spans="1:10" x14ac:dyDescent="0.25">
      <c r="B11" s="233" t="s">
        <v>50</v>
      </c>
      <c r="C11" s="225" t="s">
        <v>265</v>
      </c>
      <c r="E11" s="239">
        <v>0</v>
      </c>
      <c r="F11" s="241">
        <v>0</v>
      </c>
      <c r="G11" s="235"/>
      <c r="H11" s="236" t="str">
        <f t="shared" si="0"/>
        <v/>
      </c>
      <c r="I11" s="179">
        <f t="shared" si="1"/>
        <v>0</v>
      </c>
      <c r="J11" s="237"/>
    </row>
    <row r="12" spans="1:10" x14ac:dyDescent="0.25">
      <c r="B12" s="233" t="s">
        <v>52</v>
      </c>
      <c r="C12" s="225" t="s">
        <v>266</v>
      </c>
      <c r="E12" s="239">
        <v>0</v>
      </c>
      <c r="F12" s="241">
        <v>0</v>
      </c>
      <c r="G12" s="235"/>
      <c r="H12" s="236" t="str">
        <f t="shared" si="0"/>
        <v/>
      </c>
      <c r="I12" s="179">
        <f t="shared" si="1"/>
        <v>0</v>
      </c>
      <c r="J12" s="237"/>
    </row>
    <row r="13" spans="1:10" x14ac:dyDescent="0.25">
      <c r="B13" s="233" t="s">
        <v>54</v>
      </c>
      <c r="C13" s="225" t="s">
        <v>267</v>
      </c>
      <c r="E13" s="239">
        <v>0</v>
      </c>
      <c r="F13" s="241">
        <v>0</v>
      </c>
      <c r="G13" s="235"/>
      <c r="H13" s="236" t="str">
        <f t="shared" si="0"/>
        <v/>
      </c>
      <c r="I13" s="179">
        <f t="shared" si="1"/>
        <v>0</v>
      </c>
      <c r="J13" s="237"/>
    </row>
    <row r="14" spans="1:10" x14ac:dyDescent="0.25">
      <c r="B14" s="233" t="s">
        <v>56</v>
      </c>
      <c r="C14" s="225" t="s">
        <v>268</v>
      </c>
      <c r="E14" s="239">
        <v>0</v>
      </c>
      <c r="F14" s="241">
        <v>0</v>
      </c>
      <c r="G14" s="235"/>
      <c r="H14" s="236" t="str">
        <f t="shared" si="0"/>
        <v/>
      </c>
      <c r="I14" s="179">
        <f t="shared" si="1"/>
        <v>0</v>
      </c>
      <c r="J14" s="237"/>
    </row>
    <row r="15" spans="1:10" x14ac:dyDescent="0.25">
      <c r="B15" s="233" t="s">
        <v>58</v>
      </c>
      <c r="C15" s="225" t="s">
        <v>269</v>
      </c>
      <c r="E15" s="239">
        <v>0</v>
      </c>
      <c r="F15" s="241">
        <v>0</v>
      </c>
      <c r="G15" s="235"/>
      <c r="H15" s="236" t="str">
        <f t="shared" si="0"/>
        <v/>
      </c>
      <c r="I15" s="179">
        <f t="shared" si="1"/>
        <v>0</v>
      </c>
      <c r="J15" s="237"/>
    </row>
    <row r="16" spans="1:10" x14ac:dyDescent="0.25">
      <c r="B16" s="233" t="s">
        <v>60</v>
      </c>
      <c r="C16" s="225" t="s">
        <v>270</v>
      </c>
      <c r="E16" s="239">
        <v>-177</v>
      </c>
      <c r="F16" s="241">
        <v>53</v>
      </c>
      <c r="G16" s="235"/>
      <c r="H16" s="236">
        <f t="shared" si="0"/>
        <v>-1.2994350282485876</v>
      </c>
      <c r="I16" s="179">
        <f t="shared" si="1"/>
        <v>230</v>
      </c>
      <c r="J16" s="237"/>
    </row>
    <row r="17" spans="1:10" x14ac:dyDescent="0.25">
      <c r="B17" s="233" t="s">
        <v>72</v>
      </c>
      <c r="C17" s="225" t="s">
        <v>271</v>
      </c>
      <c r="E17" s="239">
        <v>459</v>
      </c>
      <c r="F17" s="241">
        <v>-1484</v>
      </c>
      <c r="G17" s="235"/>
      <c r="H17" s="236">
        <f t="shared" si="0"/>
        <v>-4.2331154684095864</v>
      </c>
      <c r="I17" s="179">
        <f t="shared" si="1"/>
        <v>-1943</v>
      </c>
      <c r="J17" s="237"/>
    </row>
    <row r="18" spans="1:10" x14ac:dyDescent="0.25">
      <c r="B18" s="233" t="s">
        <v>126</v>
      </c>
      <c r="C18" s="225" t="s">
        <v>272</v>
      </c>
      <c r="E18" s="239">
        <v>0</v>
      </c>
      <c r="F18" s="241">
        <v>0</v>
      </c>
      <c r="G18" s="235"/>
      <c r="H18" s="236" t="str">
        <f t="shared" si="0"/>
        <v/>
      </c>
      <c r="I18" s="179">
        <f t="shared" si="1"/>
        <v>0</v>
      </c>
      <c r="J18" s="237"/>
    </row>
    <row r="19" spans="1:10" x14ac:dyDescent="0.25">
      <c r="B19" s="233" t="s">
        <v>128</v>
      </c>
      <c r="C19" s="225" t="s">
        <v>273</v>
      </c>
      <c r="E19" s="239">
        <v>0</v>
      </c>
      <c r="F19" s="241">
        <v>0</v>
      </c>
      <c r="G19" s="235"/>
      <c r="H19" s="236" t="str">
        <f t="shared" si="0"/>
        <v/>
      </c>
      <c r="I19" s="179">
        <f t="shared" si="1"/>
        <v>0</v>
      </c>
      <c r="J19" s="237"/>
    </row>
    <row r="20" spans="1:10" x14ac:dyDescent="0.25">
      <c r="B20" s="233" t="s">
        <v>130</v>
      </c>
      <c r="C20" s="225" t="s">
        <v>274</v>
      </c>
      <c r="E20" s="239">
        <v>0</v>
      </c>
      <c r="F20" s="241">
        <v>0</v>
      </c>
      <c r="G20" s="235"/>
      <c r="H20" s="236" t="str">
        <f t="shared" si="0"/>
        <v/>
      </c>
      <c r="I20" s="179">
        <f t="shared" si="1"/>
        <v>0</v>
      </c>
      <c r="J20" s="237"/>
    </row>
    <row r="21" spans="1:10" x14ac:dyDescent="0.25">
      <c r="B21" s="233" t="s">
        <v>132</v>
      </c>
      <c r="C21" s="225" t="s">
        <v>275</v>
      </c>
      <c r="E21" s="239">
        <v>0</v>
      </c>
      <c r="F21" s="241">
        <v>0</v>
      </c>
      <c r="G21" s="235"/>
      <c r="H21" s="236" t="str">
        <f t="shared" si="0"/>
        <v/>
      </c>
      <c r="I21" s="179">
        <f t="shared" si="1"/>
        <v>0</v>
      </c>
      <c r="J21" s="237"/>
    </row>
    <row r="22" spans="1:10" x14ac:dyDescent="0.25">
      <c r="B22" s="233" t="s">
        <v>134</v>
      </c>
      <c r="C22" s="225" t="s">
        <v>276</v>
      </c>
      <c r="E22" s="239">
        <v>0</v>
      </c>
      <c r="F22" s="241">
        <v>0</v>
      </c>
      <c r="G22" s="235"/>
      <c r="H22" s="236" t="str">
        <f t="shared" si="0"/>
        <v/>
      </c>
      <c r="I22" s="179">
        <f t="shared" si="1"/>
        <v>0</v>
      </c>
      <c r="J22" s="237"/>
    </row>
    <row r="23" spans="1:10" x14ac:dyDescent="0.25">
      <c r="B23" s="233" t="s">
        <v>277</v>
      </c>
      <c r="C23" s="225" t="s">
        <v>61</v>
      </c>
      <c r="E23" s="239">
        <v>-1987</v>
      </c>
      <c r="F23" s="241">
        <f>-1045+2-32</f>
        <v>-1075</v>
      </c>
      <c r="G23" s="235"/>
      <c r="H23" s="236">
        <f t="shared" si="0"/>
        <v>-0.45898339204831407</v>
      </c>
      <c r="I23" s="179">
        <f t="shared" si="1"/>
        <v>912</v>
      </c>
      <c r="J23" s="237"/>
    </row>
    <row r="24" spans="1:10" ht="15.75" thickBot="1" x14ac:dyDescent="0.3">
      <c r="C24" s="224" t="s">
        <v>278</v>
      </c>
      <c r="D24" s="224"/>
      <c r="E24" s="242">
        <f t="shared" ref="E24:F24" si="2">SUM(E10:E23)</f>
        <v>-126</v>
      </c>
      <c r="F24" s="242">
        <f t="shared" si="2"/>
        <v>-719</v>
      </c>
      <c r="G24" s="235"/>
      <c r="H24" s="236">
        <f t="shared" si="0"/>
        <v>4.7063492063492065</v>
      </c>
      <c r="I24" s="179">
        <f t="shared" si="1"/>
        <v>-593</v>
      </c>
      <c r="J24" s="237"/>
    </row>
    <row r="25" spans="1:10" ht="25.5" customHeight="1" x14ac:dyDescent="0.25">
      <c r="A25" s="224">
        <v>3</v>
      </c>
      <c r="B25" s="224" t="s">
        <v>279</v>
      </c>
      <c r="E25" s="233"/>
      <c r="F25" s="233"/>
      <c r="G25" s="235"/>
      <c r="H25" s="236"/>
      <c r="I25" s="179"/>
      <c r="J25" s="238"/>
    </row>
    <row r="26" spans="1:10" x14ac:dyDescent="0.25">
      <c r="B26" s="233" t="s">
        <v>64</v>
      </c>
      <c r="C26" s="225" t="s">
        <v>23</v>
      </c>
      <c r="E26" s="239">
        <v>-20</v>
      </c>
      <c r="F26" s="241">
        <v>-15</v>
      </c>
      <c r="G26" s="235"/>
      <c r="H26" s="236">
        <f t="shared" ref="H26:H31" si="3">IF(E26=0,"",(F26-E26)/(E26))</f>
        <v>-0.25</v>
      </c>
      <c r="I26" s="179">
        <f t="shared" si="1"/>
        <v>5</v>
      </c>
      <c r="J26" s="237"/>
    </row>
    <row r="27" spans="1:10" x14ac:dyDescent="0.25">
      <c r="B27" s="233" t="s">
        <v>50</v>
      </c>
      <c r="C27" s="225" t="s">
        <v>280</v>
      </c>
      <c r="E27" s="239">
        <v>-1</v>
      </c>
      <c r="F27" s="241">
        <v>-1</v>
      </c>
      <c r="G27" s="235"/>
      <c r="H27" s="236">
        <f t="shared" si="3"/>
        <v>0</v>
      </c>
      <c r="I27" s="179">
        <f t="shared" si="1"/>
        <v>0</v>
      </c>
      <c r="J27" s="237"/>
    </row>
    <row r="28" spans="1:10" x14ac:dyDescent="0.25">
      <c r="B28" s="233" t="s">
        <v>52</v>
      </c>
      <c r="C28" s="225" t="s">
        <v>281</v>
      </c>
      <c r="E28" s="239">
        <v>0</v>
      </c>
      <c r="F28" s="241">
        <v>0</v>
      </c>
      <c r="G28" s="235"/>
      <c r="H28" s="236" t="str">
        <f t="shared" si="3"/>
        <v/>
      </c>
      <c r="I28" s="179">
        <f t="shared" si="1"/>
        <v>0</v>
      </c>
      <c r="J28" s="237"/>
    </row>
    <row r="29" spans="1:10" x14ac:dyDescent="0.25">
      <c r="B29" s="233" t="s">
        <v>54</v>
      </c>
      <c r="C29" s="225" t="s">
        <v>282</v>
      </c>
      <c r="E29" s="239">
        <v>0</v>
      </c>
      <c r="F29" s="241">
        <v>0</v>
      </c>
      <c r="G29" s="235"/>
      <c r="H29" s="236" t="str">
        <f t="shared" si="3"/>
        <v/>
      </c>
      <c r="I29" s="179">
        <f t="shared" si="1"/>
        <v>0</v>
      </c>
      <c r="J29" s="237"/>
    </row>
    <row r="30" spans="1:10" x14ac:dyDescent="0.25">
      <c r="B30" s="233" t="s">
        <v>56</v>
      </c>
      <c r="C30" s="225" t="s">
        <v>283</v>
      </c>
      <c r="E30" s="239">
        <v>896</v>
      </c>
      <c r="F30" s="241">
        <v>672</v>
      </c>
      <c r="G30" s="235"/>
      <c r="H30" s="236">
        <f t="shared" si="3"/>
        <v>-0.25</v>
      </c>
      <c r="I30" s="179">
        <f t="shared" si="1"/>
        <v>-224</v>
      </c>
      <c r="J30" s="237"/>
    </row>
    <row r="31" spans="1:10" ht="15.75" thickBot="1" x14ac:dyDescent="0.3">
      <c r="C31" s="224" t="s">
        <v>284</v>
      </c>
      <c r="D31" s="224"/>
      <c r="E31" s="242">
        <f t="shared" ref="E31:F31" si="4">SUM(E26:E30)</f>
        <v>875</v>
      </c>
      <c r="F31" s="242">
        <f t="shared" si="4"/>
        <v>656</v>
      </c>
      <c r="G31" s="235"/>
      <c r="H31" s="236">
        <f t="shared" si="3"/>
        <v>-0.25028571428571428</v>
      </c>
      <c r="I31" s="179">
        <f t="shared" si="1"/>
        <v>-219</v>
      </c>
      <c r="J31" s="237"/>
    </row>
    <row r="32" spans="1:10" ht="15.75" thickBot="1" x14ac:dyDescent="0.3">
      <c r="E32" s="233"/>
      <c r="F32" s="233"/>
      <c r="G32" s="235"/>
      <c r="H32" s="236"/>
      <c r="I32" s="179"/>
      <c r="J32" s="238"/>
    </row>
    <row r="33" spans="1:10" ht="15.75" thickBot="1" x14ac:dyDescent="0.3">
      <c r="A33" s="224">
        <v>4</v>
      </c>
      <c r="B33" s="224" t="s">
        <v>285</v>
      </c>
      <c r="E33" s="243">
        <f t="shared" ref="E33:F33" si="5">E7+E24+E31</f>
        <v>-552</v>
      </c>
      <c r="F33" s="243">
        <f t="shared" si="5"/>
        <v>-2065</v>
      </c>
      <c r="G33" s="235"/>
      <c r="H33" s="236">
        <f>IF(E33=0,"",(F33-E33)/(E33))</f>
        <v>2.7409420289855073</v>
      </c>
      <c r="I33" s="179">
        <f t="shared" si="1"/>
        <v>-1513</v>
      </c>
      <c r="J33" s="237"/>
    </row>
    <row r="34" spans="1:10" x14ac:dyDescent="0.25">
      <c r="E34" s="233"/>
      <c r="F34" s="233"/>
      <c r="G34" s="235"/>
      <c r="H34" s="236"/>
      <c r="I34" s="179"/>
      <c r="J34" s="238"/>
    </row>
    <row r="35" spans="1:10" x14ac:dyDescent="0.25">
      <c r="A35" s="224">
        <v>5</v>
      </c>
      <c r="B35" s="224" t="s">
        <v>286</v>
      </c>
      <c r="E35" s="233"/>
      <c r="F35" s="233"/>
      <c r="G35" s="235"/>
      <c r="H35" s="236"/>
      <c r="I35" s="179"/>
      <c r="J35" s="238"/>
    </row>
    <row r="36" spans="1:10" x14ac:dyDescent="0.25">
      <c r="B36" s="233" t="s">
        <v>64</v>
      </c>
      <c r="C36" s="225" t="s">
        <v>287</v>
      </c>
      <c r="E36" s="239">
        <v>0</v>
      </c>
      <c r="F36" s="241">
        <v>0</v>
      </c>
      <c r="G36" s="235"/>
      <c r="H36" s="236" t="str">
        <f t="shared" ref="H36:H46" si="6">IF(E36=0,"",(F36-E36)/(E36))</f>
        <v/>
      </c>
      <c r="I36" s="179">
        <f t="shared" si="1"/>
        <v>0</v>
      </c>
      <c r="J36" s="237"/>
    </row>
    <row r="37" spans="1:10" x14ac:dyDescent="0.25">
      <c r="B37" s="233" t="s">
        <v>50</v>
      </c>
      <c r="C37" s="225" t="s">
        <v>288</v>
      </c>
      <c r="E37" s="239">
        <v>0</v>
      </c>
      <c r="F37" s="241">
        <v>0</v>
      </c>
      <c r="G37" s="235"/>
      <c r="H37" s="236" t="str">
        <f t="shared" si="6"/>
        <v/>
      </c>
      <c r="I37" s="179">
        <f t="shared" si="1"/>
        <v>0</v>
      </c>
      <c r="J37" s="237"/>
    </row>
    <row r="38" spans="1:10" x14ac:dyDescent="0.25">
      <c r="B38" s="233" t="s">
        <v>52</v>
      </c>
      <c r="C38" s="225" t="s">
        <v>289</v>
      </c>
      <c r="E38" s="239">
        <v>0</v>
      </c>
      <c r="F38" s="241">
        <v>0</v>
      </c>
      <c r="G38" s="235"/>
      <c r="H38" s="236" t="str">
        <f t="shared" si="6"/>
        <v/>
      </c>
      <c r="I38" s="179">
        <f t="shared" si="1"/>
        <v>0</v>
      </c>
      <c r="J38" s="237"/>
    </row>
    <row r="39" spans="1:10" x14ac:dyDescent="0.25">
      <c r="B39" s="233" t="s">
        <v>54</v>
      </c>
      <c r="C39" s="225" t="s">
        <v>290</v>
      </c>
      <c r="E39" s="239">
        <v>0</v>
      </c>
      <c r="F39" s="241">
        <v>0</v>
      </c>
      <c r="G39" s="235"/>
      <c r="H39" s="236" t="str">
        <f t="shared" si="6"/>
        <v/>
      </c>
      <c r="I39" s="179">
        <f t="shared" si="1"/>
        <v>0</v>
      </c>
      <c r="J39" s="237"/>
    </row>
    <row r="40" spans="1:10" x14ac:dyDescent="0.25">
      <c r="B40" s="233" t="s">
        <v>56</v>
      </c>
      <c r="C40" s="225" t="s">
        <v>291</v>
      </c>
      <c r="E40" s="239">
        <v>0</v>
      </c>
      <c r="F40" s="241">
        <v>0</v>
      </c>
      <c r="G40" s="235"/>
      <c r="H40" s="236" t="str">
        <f t="shared" si="6"/>
        <v/>
      </c>
      <c r="I40" s="179">
        <f t="shared" si="1"/>
        <v>0</v>
      </c>
      <c r="J40" s="237"/>
    </row>
    <row r="41" spans="1:10" x14ac:dyDescent="0.25">
      <c r="B41" s="233" t="s">
        <v>58</v>
      </c>
      <c r="C41" s="225" t="s">
        <v>23</v>
      </c>
      <c r="E41" s="239">
        <v>20</v>
      </c>
      <c r="F41" s="241">
        <v>15</v>
      </c>
      <c r="G41" s="235"/>
      <c r="H41" s="236">
        <f t="shared" si="6"/>
        <v>-0.25</v>
      </c>
      <c r="I41" s="179">
        <f t="shared" si="1"/>
        <v>-5</v>
      </c>
      <c r="J41" s="237"/>
    </row>
    <row r="42" spans="1:10" x14ac:dyDescent="0.25">
      <c r="B42" s="233" t="s">
        <v>60</v>
      </c>
      <c r="C42" s="225" t="s">
        <v>292</v>
      </c>
      <c r="E42" s="239">
        <v>-896</v>
      </c>
      <c r="F42" s="241">
        <v>-638</v>
      </c>
      <c r="G42" s="235"/>
      <c r="H42" s="236">
        <f t="shared" si="6"/>
        <v>-0.28794642857142855</v>
      </c>
      <c r="I42" s="179">
        <f t="shared" si="1"/>
        <v>258</v>
      </c>
      <c r="J42" s="237"/>
    </row>
    <row r="43" spans="1:10" x14ac:dyDescent="0.25">
      <c r="B43" s="233" t="s">
        <v>72</v>
      </c>
      <c r="C43" s="225" t="s">
        <v>293</v>
      </c>
      <c r="E43" s="239">
        <v>0</v>
      </c>
      <c r="F43" s="241">
        <v>0</v>
      </c>
      <c r="G43" s="235"/>
      <c r="H43" s="236" t="str">
        <f t="shared" si="6"/>
        <v/>
      </c>
      <c r="I43" s="179">
        <f t="shared" si="1"/>
        <v>0</v>
      </c>
      <c r="J43" s="237"/>
    </row>
    <row r="44" spans="1:10" x14ac:dyDescent="0.25">
      <c r="B44" s="233" t="s">
        <v>126</v>
      </c>
      <c r="C44" s="225" t="s">
        <v>294</v>
      </c>
      <c r="E44" s="239">
        <v>0</v>
      </c>
      <c r="F44" s="241">
        <v>0</v>
      </c>
      <c r="G44" s="235"/>
      <c r="H44" s="236" t="str">
        <f t="shared" si="6"/>
        <v/>
      </c>
      <c r="I44" s="179">
        <f t="shared" si="1"/>
        <v>0</v>
      </c>
      <c r="J44" s="237"/>
    </row>
    <row r="45" spans="1:10" x14ac:dyDescent="0.25">
      <c r="B45" s="233" t="s">
        <v>128</v>
      </c>
      <c r="C45" s="225" t="s">
        <v>295</v>
      </c>
      <c r="E45" s="239">
        <v>0</v>
      </c>
      <c r="F45" s="241">
        <v>0</v>
      </c>
      <c r="G45" s="235"/>
      <c r="H45" s="236" t="str">
        <f t="shared" si="6"/>
        <v/>
      </c>
      <c r="I45" s="179">
        <f t="shared" si="1"/>
        <v>0</v>
      </c>
      <c r="J45" s="237"/>
    </row>
    <row r="46" spans="1:10" ht="15.75" thickBot="1" x14ac:dyDescent="0.3">
      <c r="B46" s="224" t="s">
        <v>296</v>
      </c>
      <c r="E46" s="242">
        <f t="shared" ref="E46:F46" si="7">SUM(E36:E45)</f>
        <v>-876</v>
      </c>
      <c r="F46" s="242">
        <f t="shared" si="7"/>
        <v>-623</v>
      </c>
      <c r="G46" s="235"/>
      <c r="H46" s="236">
        <f t="shared" si="6"/>
        <v>-0.28881278538812788</v>
      </c>
      <c r="I46" s="179">
        <f t="shared" si="1"/>
        <v>253</v>
      </c>
      <c r="J46" s="237"/>
    </row>
    <row r="47" spans="1:10" x14ac:dyDescent="0.25">
      <c r="E47" s="233"/>
      <c r="F47" s="233"/>
      <c r="G47" s="235"/>
      <c r="H47" s="236"/>
      <c r="I47" s="179"/>
      <c r="J47" s="238"/>
    </row>
    <row r="48" spans="1:10" x14ac:dyDescent="0.25">
      <c r="A48" s="224">
        <v>6</v>
      </c>
      <c r="B48" s="224" t="s">
        <v>297</v>
      </c>
      <c r="E48" s="233"/>
      <c r="F48" s="233"/>
      <c r="G48" s="235"/>
      <c r="H48" s="236"/>
      <c r="I48" s="179"/>
      <c r="J48" s="238"/>
    </row>
    <row r="49" spans="1:10" x14ac:dyDescent="0.25">
      <c r="B49" s="233" t="s">
        <v>64</v>
      </c>
      <c r="C49" s="225" t="s">
        <v>298</v>
      </c>
      <c r="E49" s="239">
        <v>-1</v>
      </c>
      <c r="F49" s="241">
        <v>-1</v>
      </c>
      <c r="G49" s="235"/>
      <c r="H49" s="236">
        <f t="shared" ref="H49:H56" si="8">IF(E49=0,"",(F49-E49)/(E49))</f>
        <v>0</v>
      </c>
      <c r="I49" s="179">
        <f t="shared" si="1"/>
        <v>0</v>
      </c>
      <c r="J49" s="237"/>
    </row>
    <row r="50" spans="1:10" x14ac:dyDescent="0.25">
      <c r="B50" s="233" t="s">
        <v>50</v>
      </c>
      <c r="C50" s="225" t="s">
        <v>299</v>
      </c>
      <c r="E50" s="239">
        <v>0</v>
      </c>
      <c r="F50" s="241">
        <v>0</v>
      </c>
      <c r="G50" s="235"/>
      <c r="H50" s="236" t="str">
        <f t="shared" si="8"/>
        <v/>
      </c>
      <c r="I50" s="179">
        <f t="shared" si="1"/>
        <v>0</v>
      </c>
      <c r="J50" s="237"/>
    </row>
    <row r="51" spans="1:10" x14ac:dyDescent="0.25">
      <c r="B51" s="233" t="s">
        <v>52</v>
      </c>
      <c r="C51" s="225" t="s">
        <v>300</v>
      </c>
      <c r="E51" s="239">
        <v>0</v>
      </c>
      <c r="F51" s="241">
        <v>0</v>
      </c>
      <c r="G51" s="235"/>
      <c r="H51" s="236" t="str">
        <f t="shared" si="8"/>
        <v/>
      </c>
      <c r="I51" s="179">
        <f t="shared" si="1"/>
        <v>0</v>
      </c>
      <c r="J51" s="237"/>
    </row>
    <row r="52" spans="1:10" x14ac:dyDescent="0.25">
      <c r="B52" s="233" t="s">
        <v>54</v>
      </c>
      <c r="C52" s="225" t="s">
        <v>301</v>
      </c>
      <c r="E52" s="239">
        <v>0</v>
      </c>
      <c r="F52" s="241">
        <v>0</v>
      </c>
      <c r="G52" s="235"/>
      <c r="H52" s="236" t="str">
        <f t="shared" si="8"/>
        <v/>
      </c>
      <c r="I52" s="179">
        <f t="shared" si="1"/>
        <v>0</v>
      </c>
      <c r="J52" s="237"/>
    </row>
    <row r="53" spans="1:10" x14ac:dyDescent="0.25">
      <c r="B53" s="233" t="s">
        <v>56</v>
      </c>
      <c r="C53" s="225" t="s">
        <v>302</v>
      </c>
      <c r="E53" s="239">
        <v>0</v>
      </c>
      <c r="F53" s="241">
        <v>0</v>
      </c>
      <c r="G53" s="235"/>
      <c r="H53" s="236" t="str">
        <f t="shared" si="8"/>
        <v/>
      </c>
      <c r="I53" s="179">
        <f t="shared" si="1"/>
        <v>0</v>
      </c>
      <c r="J53" s="237"/>
    </row>
    <row r="54" spans="1:10" x14ac:dyDescent="0.25">
      <c r="B54" s="233" t="s">
        <v>58</v>
      </c>
      <c r="C54" s="225" t="s">
        <v>303</v>
      </c>
      <c r="E54" s="239">
        <v>0</v>
      </c>
      <c r="F54" s="241">
        <v>0</v>
      </c>
      <c r="G54" s="235"/>
      <c r="H54" s="236" t="str">
        <f t="shared" si="8"/>
        <v/>
      </c>
      <c r="I54" s="179">
        <f t="shared" si="1"/>
        <v>0</v>
      </c>
      <c r="J54" s="237"/>
    </row>
    <row r="55" spans="1:10" x14ac:dyDescent="0.25">
      <c r="B55" s="233" t="s">
        <v>60</v>
      </c>
      <c r="C55" s="225" t="s">
        <v>304</v>
      </c>
      <c r="E55" s="239">
        <v>0</v>
      </c>
      <c r="F55" s="241">
        <v>0</v>
      </c>
      <c r="G55" s="235"/>
      <c r="H55" s="236" t="str">
        <f t="shared" si="8"/>
        <v/>
      </c>
      <c r="I55" s="179">
        <f t="shared" si="1"/>
        <v>0</v>
      </c>
      <c r="J55" s="237"/>
    </row>
    <row r="56" spans="1:10" ht="15.75" thickBot="1" x14ac:dyDescent="0.3">
      <c r="B56" s="224" t="s">
        <v>305</v>
      </c>
      <c r="E56" s="242">
        <f t="shared" ref="E56:F56" si="9">SUM(E49:E55)</f>
        <v>-1</v>
      </c>
      <c r="F56" s="242">
        <f t="shared" si="9"/>
        <v>-1</v>
      </c>
      <c r="G56" s="235"/>
      <c r="H56" s="236">
        <f t="shared" si="8"/>
        <v>0</v>
      </c>
      <c r="I56" s="179">
        <f t="shared" si="1"/>
        <v>0</v>
      </c>
      <c r="J56" s="237"/>
    </row>
    <row r="57" spans="1:10" ht="15.75" thickBot="1" x14ac:dyDescent="0.3">
      <c r="E57" s="233"/>
      <c r="F57" s="233"/>
      <c r="G57" s="235"/>
      <c r="H57" s="236"/>
      <c r="I57" s="179"/>
      <c r="J57" s="238"/>
    </row>
    <row r="58" spans="1:10" ht="15.75" thickBot="1" x14ac:dyDescent="0.3">
      <c r="A58" s="224">
        <v>7</v>
      </c>
      <c r="B58" s="224" t="s">
        <v>306</v>
      </c>
      <c r="E58" s="244">
        <f t="shared" ref="E58:F58" si="10">E33+E46+E56</f>
        <v>-1429</v>
      </c>
      <c r="F58" s="244">
        <f t="shared" si="10"/>
        <v>-2689</v>
      </c>
      <c r="G58" s="235"/>
      <c r="H58" s="236">
        <f>IF(E58=0,"",(F58-E58)/(E58))</f>
        <v>0.88173547935619312</v>
      </c>
      <c r="I58" s="179">
        <f t="shared" si="1"/>
        <v>-1260</v>
      </c>
      <c r="J58" s="237"/>
    </row>
    <row r="59" spans="1:10" x14ac:dyDescent="0.25">
      <c r="E59" s="233"/>
      <c r="F59" s="233"/>
      <c r="G59" s="235"/>
      <c r="H59" s="236"/>
      <c r="I59" s="179"/>
      <c r="J59" s="238"/>
    </row>
    <row r="60" spans="1:10" x14ac:dyDescent="0.25">
      <c r="A60" s="224">
        <v>8</v>
      </c>
      <c r="B60" s="225" t="s">
        <v>307</v>
      </c>
      <c r="E60" s="239">
        <v>2252</v>
      </c>
      <c r="F60" s="241">
        <v>4691</v>
      </c>
      <c r="G60" s="235"/>
      <c r="H60" s="236">
        <f>IF(E60=0,"",(F60-E60)/(E60))</f>
        <v>1.0830373001776199</v>
      </c>
      <c r="I60" s="179">
        <f t="shared" si="1"/>
        <v>2439</v>
      </c>
      <c r="J60" s="237"/>
    </row>
    <row r="61" spans="1:10" x14ac:dyDescent="0.25">
      <c r="A61" s="224">
        <v>9</v>
      </c>
      <c r="B61" s="225" t="s">
        <v>308</v>
      </c>
      <c r="E61" s="239">
        <f>'Balance sheet'!E14</f>
        <v>823</v>
      </c>
      <c r="F61" s="239">
        <f>'Balance sheet'!F14</f>
        <v>2002</v>
      </c>
      <c r="G61" s="235"/>
      <c r="H61" s="236">
        <f>IF(E61=0,"",(F61-E61)/(E61))</f>
        <v>1.4325637910085054</v>
      </c>
      <c r="I61" s="179">
        <f t="shared" si="1"/>
        <v>1179</v>
      </c>
      <c r="J61" s="237"/>
    </row>
    <row r="62" spans="1:10" x14ac:dyDescent="0.25">
      <c r="E62" s="233"/>
      <c r="F62" s="233"/>
      <c r="G62" s="225"/>
      <c r="H62" s="225"/>
      <c r="I62" s="225"/>
    </row>
    <row r="63" spans="1:10" x14ac:dyDescent="0.25">
      <c r="C63" s="225" t="s">
        <v>236</v>
      </c>
      <c r="E63" s="221">
        <f t="shared" ref="E63:F63" si="11">+E61-E60</f>
        <v>-1429</v>
      </c>
      <c r="F63" s="221">
        <f t="shared" si="11"/>
        <v>-2689</v>
      </c>
      <c r="G63" s="225"/>
      <c r="H63" s="225"/>
      <c r="I63" s="225"/>
    </row>
    <row r="64" spans="1:10" x14ac:dyDescent="0.25">
      <c r="F64" s="300" t="str">
        <f>IF(F58=Cashflow!F63,"","The change in cash and equivalents does not equal the balance sheet position")</f>
        <v/>
      </c>
    </row>
  </sheetData>
  <sheetProtection algorithmName="SHA-512" hashValue="0u4TjH69ESmnHGEPiOOrM8f4iUIjdq/71aaxsc7JmqwydO+0C69ofdGZjj3h4eGDO1qerccderEBuI35V29QbA==" saltValue="bUDSwdrggFOXumAHUxEulw==" spinCount="100000" sheet="1" formatRows="0"/>
  <conditionalFormatting sqref="H7:I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F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345c5cd-b95b-4824-9623-986043bc3f98" xsi:nil="true"/>
    <lcf76f155ced4ddcb4097134ff3c332f xmlns="c4c25b0b-a9b2-4e3e-b634-39fec33a34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5" ma:contentTypeDescription="Create a new document." ma:contentTypeScope="" ma:versionID="e574a73d3bccec59b7b37647195b7fbc">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d5cc4d35050568c58a78005266516858"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Thumbnail" ma:index="35"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1B9F7D790CD87F4CA1AA24057FDCF9A7" ma:contentTypeVersion="15" ma:contentTypeDescription="Create a new document." ma:contentTypeScope="" ma:versionID="5830861add9948713644ded43e936709">
  <xsd:schema xmlns:xsd="http://www.w3.org/2001/XMLSchema" xmlns:xs="http://www.w3.org/2001/XMLSchema" xmlns:p="http://schemas.microsoft.com/office/2006/metadata/properties" xmlns:ns2="c4c25b0b-a9b2-4e3e-b634-39fec33a3420" xmlns:ns3="5345c5cd-b95b-4824-9623-986043bc3f98" targetNamespace="http://schemas.microsoft.com/office/2006/metadata/properties" ma:root="true" ma:fieldsID="6cc3d7acaee63476a450bc0225d5efd6" ns2:_="" ns3:_="">
    <xsd:import namespace="c4c25b0b-a9b2-4e3e-b634-39fec33a3420"/>
    <xsd:import namespace="5345c5cd-b95b-4824-9623-986043bc3f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25b0b-a9b2-4e3e-b634-39fec33a3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91377cd-c96a-43ab-ab84-0750d421662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45c5cd-b95b-4824-9623-986043bc3f9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485e359-7b98-47e1-be11-d01be9ff8dcf}" ma:internalName="TaxCatchAll" ma:showField="CatchAllData" ma:web="5345c5cd-b95b-4824-9623-986043bc3f9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F20AF-5B1A-4791-B5AD-38BB2D067834}">
  <ds:schemaRefs>
    <ds:schemaRef ds:uri="http://schemas.microsoft.com/office/2006/metadata/properties"/>
    <ds:schemaRef ds:uri="http://schemas.microsoft.com/office/infopath/2007/PartnerControls"/>
    <ds:schemaRef ds:uri="846980c5-3db8-44b0-935b-312affdd1e17"/>
    <ds:schemaRef ds:uri="76699e94-5373-4908-8786-85f2fbc6030f"/>
  </ds:schemaRefs>
</ds:datastoreItem>
</file>

<file path=customXml/itemProps2.xml><?xml version="1.0" encoding="utf-8"?>
<ds:datastoreItem xmlns:ds="http://schemas.openxmlformats.org/officeDocument/2006/customXml" ds:itemID="{51B0AB76-889F-491E-A02F-AD749C495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CF6D42-BCA6-4EAC-8DE3-35A701F25C09}"/>
</file>

<file path=customXml/itemProps4.xml><?xml version="1.0" encoding="utf-8"?>
<ds:datastoreItem xmlns:ds="http://schemas.openxmlformats.org/officeDocument/2006/customXml" ds:itemID="{C5949698-DDF9-46DC-8DCC-E858C78852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Declaration</vt:lpstr>
      <vt:lpstr>SOCIE</vt:lpstr>
      <vt:lpstr>Income</vt:lpstr>
      <vt:lpstr>Expenditure</vt:lpstr>
      <vt:lpstr>Efficiencies</vt:lpstr>
      <vt:lpstr>Adjusted operating result</vt:lpstr>
      <vt:lpstr>Balance sheet</vt:lpstr>
      <vt:lpstr>Liquidity Analysis</vt:lpstr>
      <vt:lpstr>Cashflow</vt:lpstr>
      <vt:lpstr>Capital expenditure</vt:lpstr>
      <vt:lpstr>Summary</vt:lpstr>
      <vt:lpstr>'Adjusted operating result'!Print_Area</vt:lpstr>
      <vt:lpstr>'Balance sheet'!Print_Area</vt:lpstr>
      <vt:lpstr>'Capital expenditure'!Print_Area</vt:lpstr>
      <vt:lpstr>Cashflow!Print_Area</vt:lpstr>
      <vt:lpstr>Declaration!Print_Area</vt:lpstr>
      <vt:lpstr>Efficiencies!Print_Area</vt:lpstr>
      <vt:lpstr>Expenditure!Print_Area</vt:lpstr>
      <vt:lpstr>Income!Print_Area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Mid-Year Financial Forecast Return 2024-25 template</dc:title>
  <dc:subject/>
  <dc:creator>Ann Robertson</dc:creator>
  <cp:keywords/>
  <dc:description/>
  <cp:lastModifiedBy>Elaine McKechnie</cp:lastModifiedBy>
  <cp:revision/>
  <dcterms:created xsi:type="dcterms:W3CDTF">2011-05-20T09:12:30Z</dcterms:created>
  <dcterms:modified xsi:type="dcterms:W3CDTF">2025-04-09T09:57:05Z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0x0101001B9F7D790CD87F4CA1AA24057FDCF9A7</vt:lpwstr>
  </property>
  <property fmtid="{D5CDD505-2E9C-101B-9397-08002B2CF9AE}" pid="3" name="_dlc_DocIdItemGuid">
    <vt:lpwstr>e3b578fe-912f-4902-a87e-628bd82e096e</vt:lpwstr>
  </property>
  <property fmtid="{D5CDD505-2E9C-101B-9397-08002B2CF9AE}" pid="4" name="MediaServiceImageTags">
    <vt:lpwstr/>
  </property>
  <property fmtid="{D5CDD505-2E9C-101B-9397-08002B2CF9AE}" pid="5" name="MSIP_Label_39b5bd04-dd11-448c-93c0-32702bb7201c_Enabled">
    <vt:lpwstr>true</vt:lpwstr>
  </property>
  <property fmtid="{D5CDD505-2E9C-101B-9397-08002B2CF9AE}" pid="6" name="MSIP_Label_39b5bd04-dd11-448c-93c0-32702bb7201c_SetDate">
    <vt:lpwstr>2025-03-04T14:08:34Z</vt:lpwstr>
  </property>
  <property fmtid="{D5CDD505-2E9C-101B-9397-08002B2CF9AE}" pid="7" name="MSIP_Label_39b5bd04-dd11-448c-93c0-32702bb7201c_Method">
    <vt:lpwstr>Standard</vt:lpwstr>
  </property>
  <property fmtid="{D5CDD505-2E9C-101B-9397-08002B2CF9AE}" pid="8" name="MSIP_Label_39b5bd04-dd11-448c-93c0-32702bb7201c_Name">
    <vt:lpwstr>Official Classification</vt:lpwstr>
  </property>
  <property fmtid="{D5CDD505-2E9C-101B-9397-08002B2CF9AE}" pid="9" name="MSIP_Label_39b5bd04-dd11-448c-93c0-32702bb7201c_SiteId">
    <vt:lpwstr>6f8ea4cf-6f3c-4fb3-b802-4af29d81df7e</vt:lpwstr>
  </property>
  <property fmtid="{D5CDD505-2E9C-101B-9397-08002B2CF9AE}" pid="10" name="MSIP_Label_39b5bd04-dd11-448c-93c0-32702bb7201c_ActionId">
    <vt:lpwstr>de597588-19b7-4cc1-8938-32bc71f68fe1</vt:lpwstr>
  </property>
  <property fmtid="{D5CDD505-2E9C-101B-9397-08002B2CF9AE}" pid="11" name="MSIP_Label_39b5bd04-dd11-448c-93c0-32702bb7201c_ContentBits">
    <vt:lpwstr>0</vt:lpwstr>
  </property>
  <property fmtid="{D5CDD505-2E9C-101B-9397-08002B2CF9AE}" pid="12" name="MSIP_Label_39b5bd04-dd11-448c-93c0-32702bb7201c_Tag">
    <vt:lpwstr>10, 3, 0, 2</vt:lpwstr>
  </property>
</Properties>
</file>